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7e1c55b6a1f53b37/Desktop/RUG/2024_06_05_Verkehr/"/>
    </mc:Choice>
  </mc:AlternateContent>
  <xr:revisionPtr revIDLastSave="0" documentId="8_{1E928F24-FE50-46F2-8B84-BA10CB413B0D}" xr6:coauthVersionLast="47" xr6:coauthVersionMax="47" xr10:uidLastSave="{00000000-0000-0000-0000-000000000000}"/>
  <bookViews>
    <workbookView xWindow="-24420" yWindow="780" windowWidth="22635" windowHeight="11055" activeTab="2" xr2:uid="{A52A3521-1723-4E12-8B26-DF8147379F7C}"/>
  </bookViews>
  <sheets>
    <sheet name="THG FSW" sheetId="4" r:id="rId1"/>
    <sheet name="THG 2023" sheetId="3" r:id="rId2"/>
    <sheet name="Zählung 2023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4" l="1"/>
  <c r="D24" i="4"/>
  <c r="D22" i="4"/>
  <c r="D23" i="4"/>
  <c r="E18" i="4"/>
  <c r="C7" i="4" l="1"/>
  <c r="F18" i="4" s="1"/>
  <c r="D17" i="4"/>
  <c r="D16" i="4"/>
  <c r="D15" i="4"/>
  <c r="D14" i="4"/>
  <c r="B17" i="4"/>
  <c r="A17" i="4"/>
  <c r="B16" i="4"/>
  <c r="A16" i="4"/>
  <c r="B15" i="4"/>
  <c r="A15" i="4"/>
  <c r="A14" i="4"/>
  <c r="B14" i="4"/>
  <c r="D3" i="4"/>
  <c r="G3" i="4" s="1"/>
  <c r="H10" i="4"/>
  <c r="A34" i="3"/>
  <c r="I20" i="3"/>
  <c r="I21" i="3"/>
  <c r="B114" i="3"/>
  <c r="B115" i="3"/>
  <c r="B111" i="3"/>
  <c r="D106" i="3"/>
  <c r="C100" i="3"/>
  <c r="C105" i="3" s="1"/>
  <c r="B106" i="3"/>
  <c r="C98" i="3"/>
  <c r="B96" i="3"/>
  <c r="L82" i="3"/>
  <c r="Q82" i="3"/>
  <c r="P82" i="3"/>
  <c r="O82" i="3"/>
  <c r="N82" i="3"/>
  <c r="M82" i="3"/>
  <c r="D46" i="3"/>
  <c r="A46" i="3"/>
  <c r="D44" i="3"/>
  <c r="D40" i="3"/>
  <c r="C39" i="3"/>
  <c r="B39" i="3"/>
  <c r="C12" i="3"/>
  <c r="F15" i="3"/>
  <c r="J18" i="3"/>
  <c r="J17" i="3"/>
  <c r="J16" i="3"/>
  <c r="J14" i="3"/>
  <c r="J13" i="3"/>
  <c r="J12" i="3"/>
  <c r="J8" i="3"/>
  <c r="J9" i="3"/>
  <c r="J7" i="3"/>
  <c r="J5" i="3"/>
  <c r="J31" i="3"/>
  <c r="J26" i="3"/>
  <c r="F27" i="3"/>
  <c r="F28" i="3"/>
  <c r="F26" i="3"/>
  <c r="F23" i="3"/>
  <c r="F24" i="3"/>
  <c r="F25" i="3"/>
  <c r="A14" i="3"/>
  <c r="I12" i="3"/>
  <c r="I3" i="3"/>
  <c r="F17" i="3"/>
  <c r="F18" i="3"/>
  <c r="F16" i="3"/>
  <c r="F8" i="3"/>
  <c r="F9" i="3"/>
  <c r="F7" i="3"/>
  <c r="F6" i="3"/>
  <c r="F5" i="3"/>
  <c r="F4" i="3"/>
  <c r="F14" i="3"/>
  <c r="F13" i="3"/>
  <c r="D13" i="3"/>
  <c r="D14" i="3"/>
  <c r="D15" i="3"/>
  <c r="D16" i="3"/>
  <c r="D12" i="3"/>
  <c r="D9" i="3"/>
  <c r="D8" i="3"/>
  <c r="D18" i="3"/>
  <c r="D17" i="3"/>
  <c r="D32" i="3"/>
  <c r="D33" i="3"/>
  <c r="D31" i="3"/>
  <c r="D24" i="3"/>
  <c r="D25" i="3"/>
  <c r="D26" i="3"/>
  <c r="D27" i="3"/>
  <c r="D28" i="3"/>
  <c r="D23" i="3"/>
  <c r="D4" i="3"/>
  <c r="D5" i="3"/>
  <c r="D6" i="3"/>
  <c r="D7" i="3"/>
  <c r="D3" i="3"/>
  <c r="D69" i="3"/>
  <c r="F32" i="3" s="1"/>
  <c r="B60" i="3"/>
  <c r="E15" i="3" s="1"/>
  <c r="E57" i="3"/>
  <c r="B58" i="3" s="1"/>
  <c r="B59" i="3" s="1"/>
  <c r="E6" i="3" s="1"/>
  <c r="B81" i="2"/>
  <c r="J25" i="3"/>
  <c r="I23" i="3"/>
  <c r="I31" i="3"/>
  <c r="I26" i="3"/>
  <c r="G33" i="3"/>
  <c r="J33" i="3" s="1"/>
  <c r="G32" i="3"/>
  <c r="J32" i="3" s="1"/>
  <c r="J24" i="3"/>
  <c r="J28" i="3"/>
  <c r="J27" i="3"/>
  <c r="I17" i="3"/>
  <c r="I13" i="3"/>
  <c r="I8" i="3"/>
  <c r="I4" i="3"/>
  <c r="C17" i="3"/>
  <c r="C16" i="3"/>
  <c r="C13" i="3"/>
  <c r="B29" i="3"/>
  <c r="C2" i="3"/>
  <c r="C22" i="3" s="1"/>
  <c r="G15" i="3"/>
  <c r="B10" i="3"/>
  <c r="B49" i="2"/>
  <c r="G6" i="3"/>
  <c r="J15" i="3" s="1"/>
  <c r="B48" i="2"/>
  <c r="C66" i="2"/>
  <c r="C56" i="2"/>
  <c r="E79" i="2"/>
  <c r="C13" i="2"/>
  <c r="C19" i="2"/>
  <c r="C18" i="2"/>
  <c r="C16" i="2"/>
  <c r="C9" i="2"/>
  <c r="A133" i="2"/>
  <c r="A132" i="2"/>
  <c r="A131" i="2"/>
  <c r="A130" i="2"/>
  <c r="A129" i="2"/>
  <c r="A128" i="2"/>
  <c r="A126" i="2"/>
  <c r="A125" i="2"/>
  <c r="A127" i="2"/>
  <c r="A124" i="2"/>
  <c r="D133" i="2"/>
  <c r="D132" i="2"/>
  <c r="D129" i="2"/>
  <c r="D125" i="2"/>
  <c r="C133" i="2"/>
  <c r="C132" i="2"/>
  <c r="C129" i="2"/>
  <c r="C125" i="2"/>
  <c r="B133" i="2"/>
  <c r="B132" i="2"/>
  <c r="B131" i="2"/>
  <c r="B129" i="2"/>
  <c r="B125" i="2"/>
  <c r="E11" i="2"/>
  <c r="B82" i="2"/>
  <c r="B65" i="2" s="1"/>
  <c r="D18" i="4" l="1"/>
  <c r="B18" i="4"/>
  <c r="C18" i="4" s="1"/>
  <c r="B116" i="3"/>
  <c r="C104" i="3"/>
  <c r="C103" i="3"/>
  <c r="C102" i="3"/>
  <c r="K15" i="3"/>
  <c r="J6" i="3"/>
  <c r="F31" i="3"/>
  <c r="F33" i="3"/>
  <c r="E3" i="3"/>
  <c r="E9" i="3"/>
  <c r="H9" i="3" s="1"/>
  <c r="E17" i="3"/>
  <c r="E26" i="3"/>
  <c r="F105" i="3" s="1"/>
  <c r="E31" i="3"/>
  <c r="E5" i="3"/>
  <c r="E8" i="3"/>
  <c r="E14" i="3"/>
  <c r="H14" i="3" s="1"/>
  <c r="E18" i="3"/>
  <c r="H18" i="3" s="1"/>
  <c r="E25" i="3"/>
  <c r="E33" i="3"/>
  <c r="E4" i="3"/>
  <c r="E12" i="3"/>
  <c r="E13" i="3"/>
  <c r="E23" i="3"/>
  <c r="F102" i="3" s="1"/>
  <c r="E24" i="3"/>
  <c r="E32" i="3"/>
  <c r="E7" i="3"/>
  <c r="H7" i="3" s="1"/>
  <c r="E16" i="3"/>
  <c r="H16" i="3" s="1"/>
  <c r="E27" i="3"/>
  <c r="H27" i="3" s="1"/>
  <c r="E28" i="3"/>
  <c r="C19" i="3"/>
  <c r="C26" i="3"/>
  <c r="C28" i="3"/>
  <c r="C23" i="3"/>
  <c r="H5" i="3"/>
  <c r="B19" i="3"/>
  <c r="H15" i="3"/>
  <c r="H6" i="3"/>
  <c r="B56" i="2"/>
  <c r="E17" i="2"/>
  <c r="E18" i="2"/>
  <c r="E16" i="2"/>
  <c r="E19" i="2"/>
  <c r="F19" i="2"/>
  <c r="F17" i="2"/>
  <c r="B80" i="2"/>
  <c r="D89" i="2"/>
  <c r="G7" i="4" l="1"/>
  <c r="H7" i="4" s="1"/>
  <c r="I7" i="4" s="1"/>
  <c r="H18" i="4"/>
  <c r="I18" i="4" s="1"/>
  <c r="C106" i="3"/>
  <c r="B35" i="3"/>
  <c r="C31" i="3"/>
  <c r="K32" i="3" s="1"/>
  <c r="H24" i="3"/>
  <c r="F103" i="3"/>
  <c r="H25" i="3"/>
  <c r="F104" i="3"/>
  <c r="E102" i="3"/>
  <c r="E105" i="3"/>
  <c r="H105" i="3" s="1"/>
  <c r="E103" i="3"/>
  <c r="E104" i="3"/>
  <c r="H104" i="3" s="1"/>
  <c r="K16" i="3"/>
  <c r="H28" i="3"/>
  <c r="H33" i="3"/>
  <c r="K14" i="3"/>
  <c r="K28" i="3"/>
  <c r="K18" i="3"/>
  <c r="H32" i="3"/>
  <c r="K24" i="3"/>
  <c r="K25" i="3"/>
  <c r="K27" i="3"/>
  <c r="H17" i="3"/>
  <c r="K17" i="3" s="1"/>
  <c r="H13" i="3"/>
  <c r="H12" i="3"/>
  <c r="H26" i="3"/>
  <c r="K26" i="3" s="1"/>
  <c r="C8" i="3"/>
  <c r="C4" i="3"/>
  <c r="C3" i="3"/>
  <c r="E10" i="2"/>
  <c r="B51" i="2" s="1"/>
  <c r="E64" i="2" s="1"/>
  <c r="E9" i="2"/>
  <c r="D41" i="2"/>
  <c r="A41" i="2"/>
  <c r="D39" i="2"/>
  <c r="C34" i="2"/>
  <c r="B34" i="2"/>
  <c r="B20" i="2"/>
  <c r="E14" i="2"/>
  <c r="E12" i="2"/>
  <c r="E7" i="2"/>
  <c r="B35" i="2" s="1"/>
  <c r="B37" i="2"/>
  <c r="B66" i="2" s="1"/>
  <c r="C37" i="2"/>
  <c r="C49" i="2" s="1"/>
  <c r="C36" i="2"/>
  <c r="C48" i="2" s="1"/>
  <c r="B36" i="2"/>
  <c r="B63" i="2" s="1"/>
  <c r="K33" i="3" l="1"/>
  <c r="H31" i="3"/>
  <c r="K31" i="3" s="1"/>
  <c r="C35" i="3"/>
  <c r="H102" i="3"/>
  <c r="H103" i="3"/>
  <c r="E106" i="3"/>
  <c r="H35" i="3"/>
  <c r="K43" i="3" s="1"/>
  <c r="H4" i="3"/>
  <c r="K5" i="3"/>
  <c r="K6" i="3"/>
  <c r="K7" i="3"/>
  <c r="H8" i="3"/>
  <c r="K8" i="3" s="1"/>
  <c r="K9" i="3"/>
  <c r="K35" i="3"/>
  <c r="L43" i="3" s="1"/>
  <c r="K13" i="3"/>
  <c r="K4" i="3"/>
  <c r="K12" i="3"/>
  <c r="H3" i="3"/>
  <c r="C10" i="3"/>
  <c r="H19" i="3"/>
  <c r="K41" i="3" s="1"/>
  <c r="H23" i="3"/>
  <c r="C29" i="3"/>
  <c r="E13" i="2"/>
  <c r="E20" i="2" s="1"/>
  <c r="E66" i="2"/>
  <c r="F63" i="2"/>
  <c r="F66" i="2"/>
  <c r="C57" i="2"/>
  <c r="D35" i="2"/>
  <c r="B47" i="2"/>
  <c r="B50" i="2" s="1"/>
  <c r="C50" i="2"/>
  <c r="C63" i="2"/>
  <c r="B55" i="2"/>
  <c r="B21" i="3" l="1"/>
  <c r="K21" i="3" s="1"/>
  <c r="B20" i="3"/>
  <c r="K20" i="3" s="1"/>
  <c r="I102" i="3"/>
  <c r="H106" i="3"/>
  <c r="K19" i="3"/>
  <c r="L41" i="3" s="1"/>
  <c r="K3" i="3"/>
  <c r="K23" i="3"/>
  <c r="H10" i="3"/>
  <c r="K40" i="3" s="1"/>
  <c r="H29" i="3"/>
  <c r="C58" i="2"/>
  <c r="B57" i="2"/>
  <c r="B58" i="2" s="1"/>
  <c r="B62" i="2"/>
  <c r="E63" i="2"/>
  <c r="F67" i="2"/>
  <c r="C67" i="2"/>
  <c r="K42" i="3" l="1"/>
  <c r="K44" i="3" s="1"/>
  <c r="I106" i="3"/>
  <c r="H36" i="3"/>
  <c r="H1" i="3" s="1"/>
  <c r="K29" i="3"/>
  <c r="L42" i="3" s="1"/>
  <c r="K10" i="3"/>
  <c r="L40" i="3" s="1"/>
  <c r="E62" i="2"/>
  <c r="E67" i="2" s="1"/>
  <c r="G67" i="2" s="1"/>
  <c r="B67" i="2"/>
  <c r="D67" i="2" s="1"/>
  <c r="B3" i="2" s="1"/>
  <c r="L44" i="3" l="1"/>
  <c r="H37" i="3"/>
  <c r="K36" i="3"/>
  <c r="G69" i="2"/>
  <c r="C3" i="2"/>
  <c r="H67" i="2"/>
  <c r="D69" i="2"/>
  <c r="K37" i="3" l="1"/>
  <c r="K1" i="3"/>
  <c r="L3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tc={0F3174E8-48EA-4943-8A26-7AF6FC19F792}</author>
    <author>tc={DC198D51-6D9C-4700-A29C-CB818DE44A1B}</author>
  </authors>
  <commentList>
    <comment ref="J6" authorId="0" shapeId="0" xr:uid="{0F3174E8-48EA-4943-8A26-7AF6FC19F792}">
      <text>
        <t xml:space="preserve"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10% mehr THG für Kleinbus
</t>
      </text>
    </comment>
    <comment ref="G27" authorId="1" shapeId="0" xr:uid="{DC198D51-6D9C-4700-A29C-CB818DE44A1B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THG Emissionen E-Lkw bzgl Verbrenner</t>
      </text>
    </comment>
  </commentList>
</comments>
</file>

<file path=xl/sharedStrings.xml><?xml version="1.0" encoding="utf-8"?>
<sst xmlns="http://schemas.openxmlformats.org/spreadsheetml/2006/main" count="332" uniqueCount="262">
  <si>
    <t>THG Straßenverkehr Nürnberg</t>
  </si>
  <si>
    <t>Arbeitstage pro Jahr (wd)</t>
  </si>
  <si>
    <t>E-Pkw (neu)</t>
  </si>
  <si>
    <t>E-Bus Nahverkehr (neu)</t>
  </si>
  <si>
    <t>nicht erfasst</t>
  </si>
  <si>
    <t>Quelle</t>
  </si>
  <si>
    <t>Tage pro Jahr bei 30 Tagen Abwesentheit (dpa)</t>
  </si>
  <si>
    <t>Schwer: Busse; Lastzüge</t>
  </si>
  <si>
    <t>Leicht: Krad</t>
  </si>
  <si>
    <t xml:space="preserve">Mittel: PkW; LkW </t>
  </si>
  <si>
    <t>Krad;PkW+Kombi;Busse</t>
  </si>
  <si>
    <t>Summe / Kommentar</t>
  </si>
  <si>
    <t>Unterschied [kt]</t>
  </si>
  <si>
    <t>E-Mobilität</t>
  </si>
  <si>
    <t>Treibhausgase</t>
  </si>
  <si>
    <t>Busse täglich</t>
  </si>
  <si>
    <t xml:space="preserve">Tonnen pro Lkw; Tonnen  pro Lastzug </t>
  </si>
  <si>
    <t>THG Pkm; tkm Mittel</t>
  </si>
  <si>
    <t>innerhalb: Pkw alle Tage, Lkw an Werktagen</t>
  </si>
  <si>
    <t>Jährlichen Emission der Stadt (2022) und Anteil Straßenverkehr [kt]</t>
  </si>
  <si>
    <t>Mit Erfassung der E-Fahrzeugen</t>
  </si>
  <si>
    <t>Ohne Erfassung der E-Fahrzeuge</t>
  </si>
  <si>
    <t>THG Emission durch Kfz pro Jahr sowie Unterschied mit/ohne Erfassung E-Fahrz [kt]</t>
  </si>
  <si>
    <t>ChatGPT 2</t>
  </si>
  <si>
    <t>Chat GPT 0</t>
  </si>
  <si>
    <t>Lkw; Lz</t>
  </si>
  <si>
    <t>Zahl Kfz in N zugelassen PkW; LkW/ (n) (Nürnberg in Zahlen) keine Busse, Lz</t>
  </si>
  <si>
    <t>leicht: Strecken Krad an dpa * 1 Person [Pkm]; 0</t>
  </si>
  <si>
    <t>zukünftig</t>
  </si>
  <si>
    <t>Chat GPT 3: 2,6%</t>
  </si>
  <si>
    <t>ChatGPT 4: 46%</t>
  </si>
  <si>
    <t>Wahrscheinlichkeit</t>
  </si>
  <si>
    <t>km</t>
  </si>
  <si>
    <t>Stadt als Ziel</t>
  </si>
  <si>
    <t>innerstädtisch mittlere Last</t>
  </si>
  <si>
    <t>E-Lkw</t>
  </si>
  <si>
    <t>E-Lastzug E-Lz)</t>
  </si>
  <si>
    <t>THG Emissionen E-Lkw bzgl Verbrenner</t>
  </si>
  <si>
    <t>km/h *0,45h</t>
  </si>
  <si>
    <t xml:space="preserve">Statista </t>
  </si>
  <si>
    <t>Optimal</t>
  </si>
  <si>
    <t>davon mittel: Strecken RTS a / Jahr = a* wd * lw * P/Fz [Pkm]</t>
  </si>
  <si>
    <t>THG Straßenverkehr Nürnberg [kt]</t>
  </si>
  <si>
    <t>Mittlere Last Lkw</t>
  </si>
  <si>
    <t>Eingaben</t>
  </si>
  <si>
    <t>Mittelwert</t>
  </si>
  <si>
    <t>VAG ChatGPT 1</t>
  </si>
  <si>
    <t>VAG Nürnberg befördert pro Busfahrt etwa 24 Personen etwa 7 km weit​.</t>
  </si>
  <si>
    <t>Heute</t>
  </si>
  <si>
    <t>Zwischenschritt</t>
  </si>
  <si>
    <t>Durchgang</t>
  </si>
  <si>
    <t>Lkw fossil</t>
  </si>
  <si>
    <t>Lastzug (Lz) fossil</t>
  </si>
  <si>
    <t>Pkw fossil</t>
  </si>
  <si>
    <t>Krad fossil</t>
  </si>
  <si>
    <t>Bus Nahverkehr fossil</t>
  </si>
  <si>
    <t>Für die THG-Bilanz nach unten kopieren und THG eintragen</t>
  </si>
  <si>
    <t>Kordon: außer Busse</t>
  </si>
  <si>
    <t>Innen: außer LkW+ Lz</t>
  </si>
  <si>
    <t xml:space="preserve">Pro Tag genutzt (ptg) </t>
  </si>
  <si>
    <t>geschätzt</t>
  </si>
  <si>
    <t>Personen pro: Fahrzeug [1];  pro Bus [VAG ChatGPT 1]; pro RST a</t>
  </si>
  <si>
    <r>
      <t xml:space="preserve">RufSammelTaxi autonom </t>
    </r>
    <r>
      <rPr>
        <sz val="18"/>
        <color theme="3" tint="0.499984740745262"/>
        <rFont val="Aptos Narrow"/>
        <family val="2"/>
        <scheme val="minor"/>
      </rPr>
      <t>Kordon</t>
    </r>
  </si>
  <si>
    <t xml:space="preserve"> N-S [km] </t>
  </si>
  <si>
    <t>O-W [km]</t>
  </si>
  <si>
    <r>
      <t xml:space="preserve">Kfz Kordon mit
E-Mob, </t>
    </r>
    <r>
      <rPr>
        <sz val="12"/>
        <color theme="5" tint="-0.249977111117893"/>
        <rFont val="Aptos Narrow"/>
        <family val="2"/>
        <scheme val="minor"/>
      </rPr>
      <t>RST a</t>
    </r>
    <r>
      <rPr>
        <sz val="12"/>
        <color theme="1"/>
        <rFont val="Aptos Narrow"/>
        <family val="2"/>
        <scheme val="minor"/>
      </rPr>
      <t xml:space="preserve"> </t>
    </r>
  </si>
  <si>
    <r>
      <t xml:space="preserve">Umweltverbund </t>
    </r>
    <r>
      <rPr>
        <sz val="18"/>
        <color theme="8" tint="0.39997558519241921"/>
        <rFont val="Aptos Narrow"/>
        <family val="2"/>
        <scheme val="minor"/>
      </rPr>
      <t>Innen</t>
    </r>
  </si>
  <si>
    <r>
      <t xml:space="preserve">E-Mob, </t>
    </r>
    <r>
      <rPr>
        <sz val="18"/>
        <color theme="5" tint="-0.249977111117893"/>
        <rFont val="Aptos Narrow"/>
        <family val="2"/>
        <scheme val="minor"/>
      </rPr>
      <t>aRST</t>
    </r>
    <r>
      <rPr>
        <sz val="18"/>
        <color theme="1"/>
        <rFont val="Aptos Narrow"/>
        <family val="2"/>
        <scheme val="minor"/>
      </rPr>
      <t xml:space="preserve">  [%]
</t>
    </r>
    <r>
      <rPr>
        <sz val="18"/>
        <color theme="3" tint="0.499984740745262"/>
        <rFont val="Aptos Narrow"/>
        <family val="2"/>
        <scheme val="minor"/>
      </rPr>
      <t>Kordon</t>
    </r>
    <r>
      <rPr>
        <sz val="18"/>
        <color theme="1"/>
        <rFont val="Aptos Narrow"/>
        <family val="2"/>
        <scheme val="minor"/>
      </rPr>
      <t xml:space="preserve"> + </t>
    </r>
    <r>
      <rPr>
        <sz val="18"/>
        <color theme="8" tint="0.39997558519241921"/>
        <rFont val="Aptos Narrow"/>
        <family val="2"/>
        <scheme val="minor"/>
      </rPr>
      <t>Innen</t>
    </r>
  </si>
  <si>
    <t xml:space="preserve">Kordon Zählung23 </t>
  </si>
  <si>
    <r>
      <t>km der Nürnberger Pkw</t>
    </r>
    <r>
      <rPr>
        <b/>
        <sz val="18"/>
        <color theme="1"/>
        <rFont val="Aptos Narrow"/>
        <family val="2"/>
        <scheme val="minor"/>
      </rPr>
      <t xml:space="preserve"> innerhalb Nbg</t>
    </r>
    <r>
      <rPr>
        <sz val="18"/>
        <color theme="1"/>
        <rFont val="Aptos Narrow"/>
        <family val="2"/>
        <scheme val="minor"/>
      </rPr>
      <t xml:space="preserve"> =  n *ptg * dpa * P/fz * la </t>
    </r>
    <r>
      <rPr>
        <b/>
        <sz val="18"/>
        <color theme="1"/>
        <rFont val="Aptos Narrow"/>
        <family val="2"/>
        <scheme val="minor"/>
      </rPr>
      <t>[Pkm</t>
    </r>
    <r>
      <rPr>
        <sz val="18"/>
        <color theme="1"/>
        <rFont val="Aptos Narrow"/>
        <family val="2"/>
        <scheme val="minor"/>
      </rPr>
      <t>]</t>
    </r>
    <r>
      <rPr>
        <sz val="18"/>
        <color rgb="FFFF0000"/>
        <rFont val="Aptos Narrow"/>
        <family val="2"/>
        <scheme val="minor"/>
      </rPr>
      <t xml:space="preserve"> 
</t>
    </r>
    <r>
      <rPr>
        <sz val="18"/>
        <color theme="1"/>
        <rFont val="Aptos Narrow"/>
        <family val="2"/>
        <scheme val="minor"/>
      </rPr>
      <t>jeden 2. Tag oder 0,52 Stunden
km der Nürnberger Lkw innerhalb Nbg =  n * wd * t/fz * la [</t>
    </r>
    <r>
      <rPr>
        <b/>
        <sz val="18"/>
        <color theme="1"/>
        <rFont val="Aptos Narrow"/>
        <family val="2"/>
        <scheme val="minor"/>
      </rPr>
      <t>tkm</t>
    </r>
    <r>
      <rPr>
        <sz val="18"/>
        <color theme="1"/>
        <rFont val="Aptos Narrow"/>
        <family val="2"/>
        <scheme val="minor"/>
      </rPr>
      <t>]</t>
    </r>
  </si>
  <si>
    <r>
      <t xml:space="preserve">THG [kt]  Krad </t>
    </r>
    <r>
      <rPr>
        <sz val="18"/>
        <color theme="3" tint="0.499984740745262"/>
        <rFont val="Aptos Narrow"/>
        <family val="2"/>
        <scheme val="minor"/>
      </rPr>
      <t xml:space="preserve">Kordon  </t>
    </r>
    <r>
      <rPr>
        <sz val="18"/>
        <color theme="1"/>
        <rFont val="Aptos Narrow"/>
        <family val="2"/>
        <scheme val="minor"/>
      </rPr>
      <t xml:space="preserve">+ </t>
    </r>
    <r>
      <rPr>
        <sz val="18"/>
        <color theme="8" tint="0.39997558519241921"/>
        <rFont val="Aptos Narrow"/>
        <family val="2"/>
        <scheme val="minor"/>
      </rPr>
      <t>Innnen</t>
    </r>
  </si>
  <si>
    <r>
      <t xml:space="preserve">THG [kt]  PkW; LkW </t>
    </r>
    <r>
      <rPr>
        <sz val="18"/>
        <color theme="3" tint="0.499984740745262"/>
        <rFont val="Aptos Narrow"/>
        <family val="2"/>
        <scheme val="minor"/>
      </rPr>
      <t>Kordon</t>
    </r>
    <r>
      <rPr>
        <sz val="18"/>
        <color theme="1"/>
        <rFont val="Aptos Narrow"/>
        <family val="2"/>
        <scheme val="minor"/>
      </rPr>
      <t xml:space="preserve"> </t>
    </r>
    <r>
      <rPr>
        <b/>
        <sz val="18"/>
        <color theme="1"/>
        <rFont val="Aptos Narrow"/>
        <family val="2"/>
        <scheme val="minor"/>
      </rPr>
      <t>+</t>
    </r>
    <r>
      <rPr>
        <b/>
        <sz val="18"/>
        <color theme="8" tint="0.39997558519241921"/>
        <rFont val="Aptos Narrow"/>
        <family val="2"/>
        <scheme val="minor"/>
      </rPr>
      <t xml:space="preserve">  Innen auch für Busse und Lastzüge</t>
    </r>
  </si>
  <si>
    <r>
      <t xml:space="preserve">THG [kt] RST autonom mit E-Antrieb im </t>
    </r>
    <r>
      <rPr>
        <sz val="18"/>
        <color theme="3" tint="0.499984740745262"/>
        <rFont val="Aptos Narrow"/>
        <family val="2"/>
        <scheme val="minor"/>
      </rPr>
      <t>Kordon</t>
    </r>
    <r>
      <rPr>
        <sz val="18"/>
        <color theme="1"/>
        <rFont val="Aptos Narrow"/>
        <family val="2"/>
        <scheme val="minor"/>
      </rPr>
      <t xml:space="preserve"> fahrend</t>
    </r>
  </si>
  <si>
    <r>
      <t xml:space="preserve">THG [kt] Wechsel Pkw ==&gt; Verkehr </t>
    </r>
    <r>
      <rPr>
        <sz val="18"/>
        <color theme="8" tint="0.39997558519241921"/>
        <rFont val="Aptos Narrow"/>
        <family val="2"/>
        <scheme val="minor"/>
      </rPr>
      <t>Innen</t>
    </r>
  </si>
  <si>
    <r>
      <t xml:space="preserve">THG [kt] Busse </t>
    </r>
    <r>
      <rPr>
        <sz val="18"/>
        <color theme="3" tint="0.499984740745262"/>
        <rFont val="Aptos Narrow"/>
        <family val="2"/>
        <scheme val="minor"/>
      </rPr>
      <t>Kordon</t>
    </r>
    <r>
      <rPr>
        <sz val="18"/>
        <color theme="1"/>
        <rFont val="Aptos Narrow"/>
        <family val="2"/>
        <scheme val="minor"/>
      </rPr>
      <t xml:space="preserve">: Lz </t>
    </r>
    <r>
      <rPr>
        <sz val="18"/>
        <color theme="3" tint="0.499984740745262"/>
        <rFont val="Aptos Narrow"/>
        <family val="2"/>
        <scheme val="minor"/>
      </rPr>
      <t xml:space="preserve">Kordon </t>
    </r>
  </si>
  <si>
    <t xml:space="preserve">Lkw, Lz nur an Werktagen </t>
  </si>
  <si>
    <r>
      <t>mittel: Strecken Pkw / Jahr = a* wd * lw * P/Fz [</t>
    </r>
    <r>
      <rPr>
        <b/>
        <sz val="18"/>
        <color theme="1"/>
        <rFont val="Aptos Narrow"/>
        <family val="2"/>
        <scheme val="minor"/>
      </rPr>
      <t>Pkm</t>
    </r>
    <r>
      <rPr>
        <sz val="18"/>
        <color theme="1"/>
        <rFont val="Aptos Narrow"/>
        <family val="2"/>
        <scheme val="minor"/>
      </rPr>
      <t>]
mittel: Strecken Lkw  / Jahr = a* wd * lw * t/Lkw [</t>
    </r>
    <r>
      <rPr>
        <b/>
        <sz val="18"/>
        <color theme="1"/>
        <rFont val="Aptos Narrow"/>
        <family val="2"/>
        <scheme val="minor"/>
      </rPr>
      <t>Tkm</t>
    </r>
    <r>
      <rPr>
        <sz val="18"/>
        <color theme="1"/>
        <rFont val="Aptos Narrow"/>
        <family val="2"/>
        <scheme val="minor"/>
      </rPr>
      <t>]</t>
    </r>
  </si>
  <si>
    <r>
      <t>schwer: Busse alle Tage [</t>
    </r>
    <r>
      <rPr>
        <b/>
        <sz val="18"/>
        <color theme="1"/>
        <rFont val="Aptos Narrow"/>
        <family val="2"/>
        <scheme val="minor"/>
      </rPr>
      <t>Pkm</t>
    </r>
    <r>
      <rPr>
        <sz val="18"/>
        <color theme="1"/>
        <rFont val="Aptos Narrow"/>
        <family val="2"/>
        <scheme val="minor"/>
      </rPr>
      <t>]; LZ lw, an Werktagen* t/LZ [</t>
    </r>
    <r>
      <rPr>
        <b/>
        <sz val="18"/>
        <color theme="1"/>
        <rFont val="Aptos Narrow"/>
        <family val="2"/>
        <scheme val="minor"/>
      </rPr>
      <t>Tkm</t>
    </r>
    <r>
      <rPr>
        <sz val="18"/>
        <color theme="1"/>
        <rFont val="Aptos Narrow"/>
        <family val="2"/>
        <scheme val="minor"/>
      </rPr>
      <t>]</t>
    </r>
  </si>
  <si>
    <r>
      <t>leicht: Strecken Krad an Wd * 1 Person [</t>
    </r>
    <r>
      <rPr>
        <b/>
        <sz val="18"/>
        <color theme="1"/>
        <rFont val="Aptos Narrow"/>
        <family val="2"/>
        <scheme val="minor"/>
      </rPr>
      <t>Pkm</t>
    </r>
    <r>
      <rPr>
        <sz val="18"/>
        <color theme="1"/>
        <rFont val="Aptos Narrow"/>
        <family val="2"/>
        <scheme val="minor"/>
      </rPr>
      <t>]; 0</t>
    </r>
  </si>
  <si>
    <t>1.1 Kfz Kordon 2023 16h</t>
  </si>
  <si>
    <t>ohne E-Kfz</t>
  </si>
  <si>
    <t>mit E-Kfz</t>
  </si>
  <si>
    <t>2.1 Streckenberechnung Kordon (Da)</t>
  </si>
  <si>
    <t xml:space="preserve">1.Fahrzeuganzahl (n) aufgteilt nach Fahrzeugtypen </t>
  </si>
  <si>
    <t>1.1 Zahl der Fahrten auf dem Kordon sortiert (n außen)</t>
  </si>
  <si>
    <t>1.2 Fahrzeuge Nürnberg für Verkehr innerhalb (n innen)</t>
  </si>
  <si>
    <t>Fahrzeuge innerhalb (ni)</t>
  </si>
  <si>
    <t>2.2. Streckenberechnung innerhalb (Di)</t>
  </si>
  <si>
    <t>2.1+2.2 Informativ: Gesamt Pkm Pkw / Jahr; tkm / Jahr in Nürnberg; Mix</t>
  </si>
  <si>
    <t>3. THG Berechnung Kordon + Innen basierend auf lokalen Daten [kt]</t>
  </si>
  <si>
    <t>4. Szenarien / Ergebnisse</t>
  </si>
  <si>
    <t>2.3 Statistische Daten Nürnberg für die Berechnung der Distanzen (D)</t>
  </si>
  <si>
    <t>2.3.1 Zahl der Verkehrstage (T)</t>
  </si>
  <si>
    <t>2.3.3 Fahrzeuglast Nürnberg  (L)</t>
  </si>
  <si>
    <t>2. Berechnung der Strecken = Distanzen (D) = n*T*L</t>
  </si>
  <si>
    <t>THG aktuelle Rechnung [kt]</t>
  </si>
  <si>
    <t>Personenverkehr</t>
  </si>
  <si>
    <t>Lastverkehr</t>
  </si>
  <si>
    <t>E-Scooter</t>
  </si>
  <si>
    <t>Stand heute [kt]</t>
  </si>
  <si>
    <t>Fahrten
 [F/16h]</t>
  </si>
  <si>
    <t>Tage pro Jahr 365</t>
  </si>
  <si>
    <t>Busse</t>
  </si>
  <si>
    <t>Motorisierung der Nürnberger Bevölkerung; H. Jühlich [1]</t>
  </si>
  <si>
    <t>aber im Kordon länger</t>
  </si>
  <si>
    <t>Bus Nahverkehr Kordon fossil</t>
  </si>
  <si>
    <t>Bus Nahverkehr Innen fossil</t>
  </si>
  <si>
    <r>
      <t xml:space="preserve">Emission </t>
    </r>
    <r>
      <rPr>
        <sz val="12"/>
        <color theme="1"/>
        <rFont val="Aptos Narrow"/>
        <family val="2"/>
        <scheme val="minor"/>
      </rPr>
      <t>Last</t>
    </r>
    <r>
      <rPr>
        <sz val="16"/>
        <color theme="1"/>
        <rFont val="Aptos Narrow"/>
        <family val="2"/>
        <scheme val="minor"/>
      </rPr>
      <t xml:space="preserve">
[g THG / Tkm]</t>
    </r>
  </si>
  <si>
    <r>
      <t>Last T</t>
    </r>
    <r>
      <rPr>
        <sz val="12"/>
        <color theme="1"/>
        <rFont val="Aptos Narrow"/>
        <family val="2"/>
        <scheme val="minor"/>
      </rPr>
      <t>onnen</t>
    </r>
    <r>
      <rPr>
        <sz val="16"/>
        <color theme="1"/>
        <rFont val="Aptos Narrow"/>
        <family val="2"/>
        <scheme val="minor"/>
      </rPr>
      <t xml:space="preserve">
[</t>
    </r>
    <r>
      <rPr>
        <sz val="12"/>
        <color theme="1"/>
        <rFont val="Aptos Narrow"/>
        <family val="2"/>
        <scheme val="minor"/>
      </rPr>
      <t xml:space="preserve">T </t>
    </r>
    <r>
      <rPr>
        <sz val="16"/>
        <color theme="1"/>
        <rFont val="Aptos Narrow"/>
        <family val="2"/>
        <scheme val="minor"/>
      </rPr>
      <t>/</t>
    </r>
    <r>
      <rPr>
        <sz val="12"/>
        <color theme="1"/>
        <rFont val="Aptos Narrow"/>
        <family val="2"/>
        <scheme val="minor"/>
      </rPr>
      <t xml:space="preserve"> </t>
    </r>
    <r>
      <rPr>
        <sz val="16"/>
        <color theme="1"/>
        <rFont val="Aptos Narrow"/>
        <family val="2"/>
        <scheme val="minor"/>
      </rPr>
      <t>F]</t>
    </r>
  </si>
  <si>
    <r>
      <t>Fahrten</t>
    </r>
    <r>
      <rPr>
        <b/>
        <sz val="16"/>
        <color theme="1"/>
        <rFont val="Calibri Light"/>
        <family val="2"/>
      </rPr>
      <t xml:space="preserve"> F</t>
    </r>
    <r>
      <rPr>
        <sz val="16"/>
        <color theme="1"/>
        <rFont val="Calibri Light"/>
        <family val="2"/>
      </rPr>
      <t xml:space="preserve">
 [F/Tag]</t>
    </r>
  </si>
  <si>
    <r>
      <t xml:space="preserve">Tage </t>
    </r>
    <r>
      <rPr>
        <b/>
        <sz val="16"/>
        <color theme="1"/>
        <rFont val="Calibri Light"/>
        <family val="2"/>
      </rPr>
      <t>T</t>
    </r>
    <r>
      <rPr>
        <sz val="16"/>
        <color theme="1"/>
        <rFont val="Calibri Light"/>
        <family val="2"/>
      </rPr>
      <t xml:space="preserve">
[Tage]</t>
    </r>
  </si>
  <si>
    <r>
      <t xml:space="preserve">Abstand </t>
    </r>
    <r>
      <rPr>
        <b/>
        <sz val="16"/>
        <color theme="1"/>
        <rFont val="Calibri Light"/>
        <family val="2"/>
      </rPr>
      <t>A</t>
    </r>
    <r>
      <rPr>
        <sz val="16"/>
        <color theme="1"/>
        <rFont val="Calibri Light"/>
        <family val="2"/>
      </rPr>
      <t xml:space="preserve">
[km/F]</t>
    </r>
  </si>
  <si>
    <r>
      <rPr>
        <b/>
        <sz val="20"/>
        <color theme="1"/>
        <rFont val="Aptos Narrow"/>
        <family val="2"/>
        <scheme val="minor"/>
      </rPr>
      <t>Lastverkehr</t>
    </r>
    <r>
      <rPr>
        <b/>
        <sz val="16"/>
        <color theme="1"/>
        <rFont val="Aptos Narrow"/>
        <family val="2"/>
        <scheme val="minor"/>
      </rPr>
      <t xml:space="preserve"> Kordon
gezählt * Anpassung 24h</t>
    </r>
  </si>
  <si>
    <r>
      <rPr>
        <b/>
        <sz val="20"/>
        <color theme="1"/>
        <rFont val="Aptos Narrow"/>
        <family val="2"/>
        <scheme val="minor"/>
      </rPr>
      <t xml:space="preserve">Lastverkehr </t>
    </r>
    <r>
      <rPr>
        <b/>
        <sz val="16"/>
        <color theme="1"/>
        <rFont val="Aptos Narrow"/>
        <family val="2"/>
        <scheme val="minor"/>
      </rPr>
      <t>Innen
Zulassung * tägliche Nutzung</t>
    </r>
  </si>
  <si>
    <t>Abstand Kordon: ermittelt aus der Ausdehnung [km]</t>
  </si>
  <si>
    <t>Abstand Innen: ermittelt aus der Nutzungsdauer [km]</t>
  </si>
  <si>
    <t xml:space="preserve">Abstand  VAG Busse [km] </t>
  </si>
  <si>
    <t>Abstand Kordon On Demand 20% [km]</t>
  </si>
  <si>
    <t>2.3.2 Abstand / Fahrt = in Nürnberg gefahrene Kilometer  (A)</t>
  </si>
  <si>
    <t>Kordon: ermittelt aus der Ausdehnung [km]</t>
  </si>
  <si>
    <t>Innen: ermittelt aus der Nutzungsdauer [km]</t>
  </si>
  <si>
    <t xml:space="preserve">VAG Busse [km] </t>
  </si>
  <si>
    <t>Änderungen
morgen
[%]</t>
  </si>
  <si>
    <t>I==&gt; E-Pkw (neu)</t>
  </si>
  <si>
    <t>I==&gt; On Demand Kordon P</t>
  </si>
  <si>
    <t>I==&gt; Umweltverbund Kordon P</t>
  </si>
  <si>
    <t>I==&gt; E-Bus Nahverkehr Kordon (neu)</t>
  </si>
  <si>
    <t xml:space="preserve">Tonnen pro Lkw; Tonnen  pro Lastzug; D Lkw </t>
  </si>
  <si>
    <t>VAG</t>
  </si>
  <si>
    <t>I==&gt; On Demand Innen P</t>
  </si>
  <si>
    <t>I==&gt; Umweltverbund Innen P</t>
  </si>
  <si>
    <t>I==&gt; E-Bus Nahverkehr (neu)</t>
  </si>
  <si>
    <t>Anpassung 24h   
600.000</t>
  </si>
  <si>
    <t>I==&gt; E-Lkw</t>
  </si>
  <si>
    <t>I==&gt; E-Lkw (neu)</t>
  </si>
  <si>
    <t>Kordon On Demand Umwege [km]</t>
  </si>
  <si>
    <r>
      <rPr>
        <b/>
        <sz val="16"/>
        <color rgb="FF00B050"/>
        <rFont val="Calibri Light"/>
        <family val="2"/>
      </rPr>
      <t>Emission</t>
    </r>
    <r>
      <rPr>
        <b/>
        <sz val="14"/>
        <color rgb="FF00B050"/>
        <rFont val="Calibri Light"/>
        <family val="2"/>
      </rPr>
      <t xml:space="preserve"> </t>
    </r>
    <r>
      <rPr>
        <b/>
        <sz val="12"/>
        <color rgb="FF00B050"/>
        <rFont val="Calibri Light"/>
        <family val="2"/>
      </rPr>
      <t>Pers
morgen</t>
    </r>
    <r>
      <rPr>
        <b/>
        <sz val="14"/>
        <color rgb="FF00B050"/>
        <rFont val="Calibri Light"/>
        <family val="2"/>
      </rPr>
      <t xml:space="preserve">
</t>
    </r>
    <r>
      <rPr>
        <b/>
        <sz val="16"/>
        <color rgb="FF00B050"/>
        <rFont val="Calibri Light"/>
        <family val="2"/>
      </rPr>
      <t>[g THG / Pkm]</t>
    </r>
  </si>
  <si>
    <r>
      <rPr>
        <b/>
        <sz val="16"/>
        <color theme="1"/>
        <rFont val="Calibri Light"/>
        <family val="2"/>
      </rPr>
      <t>L</t>
    </r>
    <r>
      <rPr>
        <sz val="16"/>
        <color theme="1"/>
        <rFont val="Calibri Light"/>
        <family val="2"/>
      </rPr>
      <t>ast</t>
    </r>
    <r>
      <rPr>
        <sz val="12"/>
        <color theme="1"/>
        <rFont val="Calibri Light"/>
        <family val="2"/>
      </rPr>
      <t xml:space="preserve"> Pers P</t>
    </r>
    <r>
      <rPr>
        <sz val="16"/>
        <color theme="1"/>
        <rFont val="Calibri Light"/>
        <family val="2"/>
      </rPr>
      <t xml:space="preserve">
[P / F]</t>
    </r>
  </si>
  <si>
    <t>Verkehrsmittel</t>
  </si>
  <si>
    <t>2.3.2 Abstand / Fahrt = in N gefahrene km (A)</t>
  </si>
  <si>
    <t>2.3.3 Fahrzeuglast (L)</t>
  </si>
  <si>
    <t>I==&gt; E-Lastzug (E-Lz)</t>
  </si>
  <si>
    <t>CO2 Reduktion Strommix 
Zukunft</t>
  </si>
  <si>
    <t>Mehr Personen / FZ</t>
  </si>
  <si>
    <t xml:space="preserve">Mehr Personen / Fz </t>
  </si>
  <si>
    <t>Weniger Last / Fz Fehlt noch</t>
  </si>
  <si>
    <r>
      <rPr>
        <b/>
        <sz val="16"/>
        <color rgb="FFFF0000"/>
        <rFont val="Calibri Light"/>
        <family val="2"/>
      </rPr>
      <t>E</t>
    </r>
    <r>
      <rPr>
        <sz val="16"/>
        <color rgb="FFFF0000"/>
        <rFont val="Calibri Light"/>
        <family val="2"/>
      </rPr>
      <t>mission</t>
    </r>
    <r>
      <rPr>
        <sz val="14"/>
        <color rgb="FFFF0000"/>
        <rFont val="Calibri Light"/>
        <family val="2"/>
      </rPr>
      <t xml:space="preserve"> </t>
    </r>
    <r>
      <rPr>
        <sz val="12"/>
        <color rgb="FFFF0000"/>
        <rFont val="Calibri Light"/>
        <family val="2"/>
      </rPr>
      <t>Pers heute</t>
    </r>
    <r>
      <rPr>
        <sz val="14"/>
        <color rgb="FFFF0000"/>
        <rFont val="Calibri Light"/>
        <family val="2"/>
      </rPr>
      <t xml:space="preserve">
</t>
    </r>
    <r>
      <rPr>
        <sz val="16"/>
        <color rgb="FFFF0000"/>
        <rFont val="Calibri Light"/>
        <family val="2"/>
      </rPr>
      <t>[g THG / Pkm]</t>
    </r>
  </si>
  <si>
    <t>LkW Diesel</t>
  </si>
  <si>
    <t>mittel min g/Tkm</t>
  </si>
  <si>
    <t>mittel max g/Tkm</t>
  </si>
  <si>
    <t>max min g/Tkm</t>
  </si>
  <si>
    <t>max max g/Tkm</t>
  </si>
  <si>
    <t>leer</t>
  </si>
  <si>
    <t>mittrel</t>
  </si>
  <si>
    <t>voll</t>
  </si>
  <si>
    <t>PkW</t>
  </si>
  <si>
    <t>RST</t>
  </si>
  <si>
    <t>LkW</t>
  </si>
  <si>
    <t>Lz</t>
  </si>
  <si>
    <t>RufSammelTaxi geschätzt</t>
  </si>
  <si>
    <t>https://www.logivest.de/logistikstandorte/gvz/nuernberg</t>
  </si>
  <si>
    <t>https://www.adv.aero/wp-content/uploads/2015/11/12.2023-ADV-Monatsstatistik.pdf</t>
  </si>
  <si>
    <t>Güter in Nürnberg pro Jahr [t]</t>
  </si>
  <si>
    <t>Flugzeug 2023</t>
  </si>
  <si>
    <t>Schiff und Bahn 2021</t>
  </si>
  <si>
    <t>Bahn im Hafen 2021</t>
  </si>
  <si>
    <t>https://www.bayernhafen.de/bayernhafen-nuernberg-mit-deutlichem-plus-gegenueber-vorjahr/</t>
  </si>
  <si>
    <t>Schiff 2021</t>
  </si>
  <si>
    <t>[t/Jahr]</t>
  </si>
  <si>
    <t>[t/Tag]</t>
  </si>
  <si>
    <t>Modal Splitt Freight 2023</t>
  </si>
  <si>
    <t>Road</t>
  </si>
  <si>
    <t>Rail</t>
  </si>
  <si>
    <t>Inland waterways</t>
  </si>
  <si>
    <t>Air Transport</t>
  </si>
  <si>
    <t>Angepasst</t>
  </si>
  <si>
    <t>Flugfracht Nürnberg in Zahlen 2022</t>
  </si>
  <si>
    <t>ChatGPT</t>
  </si>
  <si>
    <t>leer min g/tkm</t>
  </si>
  <si>
    <t>leer max g/tkm</t>
  </si>
  <si>
    <t>Morgen</t>
  </si>
  <si>
    <t>Personen Kordon</t>
  </si>
  <si>
    <t>Personen Innen</t>
  </si>
  <si>
    <t>Last Kordon</t>
  </si>
  <si>
    <t>Last Innen</t>
  </si>
  <si>
    <t>U-Verbund</t>
  </si>
  <si>
    <t>U-V Last</t>
  </si>
  <si>
    <t>Fuß</t>
  </si>
  <si>
    <t>Rad</t>
  </si>
  <si>
    <t>Auto</t>
  </si>
  <si>
    <t>S-Bahn</t>
  </si>
  <si>
    <t>U-Bahn</t>
  </si>
  <si>
    <t>DB</t>
  </si>
  <si>
    <t>THG [kt]</t>
  </si>
  <si>
    <r>
      <t xml:space="preserve">Emission </t>
    </r>
    <r>
      <rPr>
        <sz val="9"/>
        <color theme="1"/>
        <rFont val="Aptos Narrow"/>
        <family val="2"/>
        <scheme val="minor"/>
      </rPr>
      <t xml:space="preserve">Last </t>
    </r>
    <r>
      <rPr>
        <sz val="11"/>
        <color theme="1"/>
        <rFont val="Aptos Narrow"/>
        <family val="2"/>
        <scheme val="minor"/>
      </rPr>
      <t>[g / t km]</t>
    </r>
  </si>
  <si>
    <t>Germany [Mrd t / a]</t>
  </si>
  <si>
    <t>Load N [ t/a]</t>
  </si>
  <si>
    <t>Neue Last N [t / a]</t>
  </si>
  <si>
    <t>Entfernung [km / a]</t>
  </si>
  <si>
    <t>Neue Last / Fahrten pro Tag
[t / a * F/d]</t>
  </si>
  <si>
    <t>I==&gt;"Umweltverbund  Last"</t>
  </si>
  <si>
    <t>I==&gt; "Umweltverbund Last"</t>
  </si>
  <si>
    <t>Summe</t>
  </si>
  <si>
    <t>Dauer [Jahre]</t>
  </si>
  <si>
    <t>Verlagerung auf Umweltverbund pro Jahr [%]</t>
  </si>
  <si>
    <t>Seit 2019 12% weniger Autos ==&gt;  Pro Jahr</t>
  </si>
  <si>
    <t>"+8% Nahverkehr seit 2019 ==&gt; Steigerung / Jahr [%]"</t>
  </si>
  <si>
    <t>Abnahme Verkehr / Jahr durch Home-Office etc [%]</t>
  </si>
  <si>
    <t>NN 7.9.2024 Verkehrsplanungsamt H. Jühlich</t>
  </si>
  <si>
    <t>63% weniger</t>
  </si>
  <si>
    <r>
      <rPr>
        <b/>
        <sz val="20"/>
        <color theme="1"/>
        <rFont val="Aptos Narrow"/>
        <family val="2"/>
        <scheme val="minor"/>
      </rPr>
      <t>1.1 Personenverkehr</t>
    </r>
    <r>
      <rPr>
        <b/>
        <sz val="16"/>
        <color theme="1"/>
        <rFont val="Aptos Narrow"/>
        <family val="2"/>
        <scheme val="minor"/>
      </rPr>
      <t xml:space="preserve"> Kordon 
gezählt * Anpassung 24h</t>
    </r>
  </si>
  <si>
    <r>
      <rPr>
        <b/>
        <sz val="20"/>
        <color theme="1"/>
        <rFont val="Aptos Narrow"/>
        <family val="2"/>
        <scheme val="minor"/>
      </rPr>
      <t>1.2 Personenverkehr</t>
    </r>
    <r>
      <rPr>
        <b/>
        <sz val="16"/>
        <color theme="1"/>
        <rFont val="Aptos Narrow"/>
        <family val="2"/>
        <scheme val="minor"/>
      </rPr>
      <t xml:space="preserve"> Innen
Zulassung * tägliche Nutzung</t>
    </r>
  </si>
  <si>
    <t>Reduktion F</t>
  </si>
  <si>
    <t>Reduktion THG</t>
  </si>
  <si>
    <t>aRST Kordon Anteil an Pers Fahrt F</t>
  </si>
  <si>
    <t>aRST Last  Innen Anteil an Pers-Fahrt F</t>
  </si>
  <si>
    <t>KBA für Innen</t>
  </si>
  <si>
    <t>Tägliche Nutzung
[h]</t>
  </si>
  <si>
    <t>Beton</t>
  </si>
  <si>
    <t>Menge 
[t]</t>
  </si>
  <si>
    <t>THG 
[t]</t>
  </si>
  <si>
    <t>Einsparung beim Individualverkehr nach Dauer [%]</t>
  </si>
  <si>
    <t>Annahmen</t>
  </si>
  <si>
    <t>Stau</t>
  </si>
  <si>
    <t>Erhöhung pro Tag
[%]</t>
  </si>
  <si>
    <t>Emissionsreduktion
[%]</t>
  </si>
  <si>
    <t>Emission THG Kordon
[t]</t>
  </si>
  <si>
    <t>Pkw Kordon fossil</t>
  </si>
  <si>
    <t>Lkw Kordon fossil</t>
  </si>
  <si>
    <t>Lastzug (Lz) Kordon fossil</t>
  </si>
  <si>
    <t>Emission THG Kordon
[kt]</t>
  </si>
  <si>
    <t>Abfluss in angrenzende Regionen dämpft</t>
  </si>
  <si>
    <t>THG Bau FSW</t>
  </si>
  <si>
    <t>Dauer der Stauphasen
[h]</t>
  </si>
  <si>
    <t>Erhöhung in Stauphasen
[%]</t>
  </si>
  <si>
    <t>Anteil FSW am Kordon
[%]</t>
  </si>
  <si>
    <t>Iststand THG Kordon
pro Jahr</t>
  </si>
  <si>
    <t>Emission  FSW</t>
  </si>
  <si>
    <t>Zahl der Tage</t>
  </si>
  <si>
    <t>km / Fahrzeug</t>
  </si>
  <si>
    <t>Emission t</t>
  </si>
  <si>
    <t>Reduktion</t>
  </si>
  <si>
    <t>Zahl der Jahre</t>
  </si>
  <si>
    <t>Distanzen
[km]</t>
  </si>
  <si>
    <t xml:space="preserve">Fahrzeuge  / 16h 2024
</t>
  </si>
  <si>
    <t xml:space="preserve">Fahrzeuge  / Tag 2024
</t>
  </si>
  <si>
    <t xml:space="preserve">FSW Verkehrsdaten 2024 </t>
  </si>
  <si>
    <t>Emissionen 2023
[g / km]</t>
  </si>
  <si>
    <t>Emission THG 
[t THG / t Beton]</t>
  </si>
  <si>
    <t>Reduktion an THG [t]</t>
  </si>
  <si>
    <t>THG Kordon-Verkehr 2023</t>
  </si>
  <si>
    <t>Staureduktion durch Tunnel
[%]</t>
  </si>
  <si>
    <t xml:space="preserve">Prozentsatz der Fahrzeuge </t>
  </si>
  <si>
    <t>Emissionswert g/km</t>
  </si>
  <si>
    <t>Fahrzeugtype</t>
  </si>
  <si>
    <t xml:space="preserve">PkW </t>
  </si>
  <si>
    <t>Durschnitt E 2023 Cordon 
g/km</t>
  </si>
  <si>
    <t>Emission g/km</t>
  </si>
  <si>
    <t>Lkw (ChatGPT 35-40%)</t>
  </si>
  <si>
    <t>Emission Straßenverkehr Durchschnitt D</t>
  </si>
  <si>
    <t>Reduktion THG durch Umbau (Annahmen)</t>
  </si>
  <si>
    <t>Emission Beton für Umbau FSW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</si>
</sst>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0.0"/>
    <numFmt numFmtId="167" formatCode="#,##0.0_ ;[Red]\-#,##0.0\ "/>
    <numFmt numFmtId="168" formatCode="#,##0_ ;[Red]\-#,##0\ "/>
    <numFmt numFmtId="169" formatCode="0.000"/>
    <numFmt numFmtId="170" formatCode="#,##0.000"/>
  </numFmts>
  <fonts count="54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8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b/>
      <sz val="18"/>
      <color theme="0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4"/>
      <name val="Aptos Narrow"/>
      <family val="2"/>
      <scheme val="minor"/>
    </font>
    <font>
      <b/>
      <sz val="18"/>
      <name val="Aptos Narrow"/>
      <family val="2"/>
      <scheme val="minor"/>
    </font>
    <font>
      <b/>
      <u/>
      <sz val="18"/>
      <color theme="10"/>
      <name val="Aptos Narrow"/>
      <family val="2"/>
      <scheme val="minor"/>
    </font>
    <font>
      <sz val="18"/>
      <color theme="0"/>
      <name val="Aptos Narrow"/>
      <family val="2"/>
      <scheme val="minor"/>
    </font>
    <font>
      <sz val="8"/>
      <name val="Aptos Narrow"/>
      <family val="2"/>
      <scheme val="minor"/>
    </font>
    <font>
      <sz val="18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u/>
      <sz val="18"/>
      <color theme="10"/>
      <name val="Aptos Narrow"/>
      <family val="2"/>
      <scheme val="minor"/>
    </font>
    <font>
      <sz val="18"/>
      <color theme="3" tint="0.499984740745262"/>
      <name val="Aptos Narrow"/>
      <family val="2"/>
      <scheme val="minor"/>
    </font>
    <font>
      <sz val="18"/>
      <color theme="8" tint="0.39997558519241921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5" tint="-0.249977111117893"/>
      <name val="Aptos Narrow"/>
      <family val="2"/>
      <scheme val="minor"/>
    </font>
    <font>
      <sz val="18"/>
      <color theme="5" tint="-0.249977111117893"/>
      <name val="Aptos Narrow"/>
      <family val="2"/>
      <scheme val="minor"/>
    </font>
    <font>
      <sz val="20"/>
      <color theme="1"/>
      <name val="Aptos Narrow"/>
      <family val="2"/>
      <scheme val="minor"/>
    </font>
    <font>
      <sz val="18"/>
      <color rgb="FFFF0000"/>
      <name val="Aptos Narrow"/>
      <family val="2"/>
      <scheme val="minor"/>
    </font>
    <font>
      <b/>
      <sz val="18"/>
      <color theme="0" tint="-0.34998626667073579"/>
      <name val="Aptos Narrow"/>
      <family val="2"/>
      <scheme val="minor"/>
    </font>
    <font>
      <b/>
      <sz val="18"/>
      <color theme="8" tint="0.39997558519241921"/>
      <name val="Aptos Narrow"/>
      <family val="2"/>
      <scheme val="minor"/>
    </font>
    <font>
      <b/>
      <sz val="18"/>
      <color rgb="FF00B050"/>
      <name val="Aptos Narrow"/>
      <family val="2"/>
      <scheme val="minor"/>
    </font>
    <font>
      <sz val="20"/>
      <color theme="1"/>
      <name val="Calibri Light"/>
      <family val="2"/>
    </font>
    <font>
      <sz val="16"/>
      <color theme="1"/>
      <name val="Aptos Narrow"/>
      <family val="2"/>
      <scheme val="minor"/>
    </font>
    <font>
      <sz val="16"/>
      <color theme="1"/>
      <name val="Calibri Light"/>
      <family val="2"/>
    </font>
    <font>
      <b/>
      <sz val="16"/>
      <color theme="1"/>
      <name val="Aptos Narrow"/>
      <family val="2"/>
      <scheme val="minor"/>
    </font>
    <font>
      <sz val="16"/>
      <color theme="0"/>
      <name val="Aptos Narrow"/>
      <family val="2"/>
      <scheme val="minor"/>
    </font>
    <font>
      <b/>
      <sz val="16"/>
      <color theme="1"/>
      <name val="Calibri Light"/>
      <family val="2"/>
    </font>
    <font>
      <sz val="12"/>
      <color theme="1"/>
      <name val="Calibri Light"/>
      <family val="2"/>
    </font>
    <font>
      <sz val="16"/>
      <color rgb="FFFF0000"/>
      <name val="Aptos Narrow"/>
      <family val="2"/>
      <scheme val="minor"/>
    </font>
    <font>
      <sz val="16"/>
      <color rgb="FF00B050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b/>
      <sz val="16"/>
      <color rgb="FFFF0000"/>
      <name val="Calibri Light"/>
      <family val="2"/>
    </font>
    <font>
      <b/>
      <sz val="16"/>
      <color rgb="FF00B050"/>
      <name val="Calibri Light"/>
      <family val="2"/>
    </font>
    <font>
      <b/>
      <sz val="14"/>
      <color rgb="FF00B050"/>
      <name val="Calibri Light"/>
      <family val="2"/>
    </font>
    <font>
      <b/>
      <sz val="12"/>
      <color rgb="FF00B050"/>
      <name val="Calibri Light"/>
      <family val="2"/>
    </font>
    <font>
      <sz val="14"/>
      <color rgb="FFFF0000"/>
      <name val="Aptos Narrow"/>
      <family val="2"/>
      <scheme val="minor"/>
    </font>
    <font>
      <sz val="10"/>
      <color rgb="FF00B050"/>
      <name val="Aptos Narrow"/>
      <family val="2"/>
      <scheme val="minor"/>
    </font>
    <font>
      <sz val="14"/>
      <color rgb="FFFF0000"/>
      <name val="Calibri Light"/>
      <family val="2"/>
    </font>
    <font>
      <sz val="16"/>
      <color rgb="FFFF0000"/>
      <name val="Calibri Light"/>
      <family val="2"/>
    </font>
    <font>
      <sz val="12"/>
      <color rgb="FFFF0000"/>
      <name val="Calibri Light"/>
      <family val="2"/>
    </font>
    <font>
      <sz val="9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00B050"/>
      <name val="Aptos Narrow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74996185186315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gradientFill degree="90">
        <stop position="0">
          <color theme="0"/>
        </stop>
        <stop position="0.5">
          <color theme="4"/>
        </stop>
        <stop position="1">
          <color theme="0"/>
        </stop>
      </gradientFill>
    </fill>
    <fill>
      <patternFill patternType="solid">
        <fgColor rgb="FFFFFFCC"/>
        <bgColor indexed="64"/>
      </patternFill>
    </fill>
  </fills>
  <borders count="20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 style="thin">
        <color auto="1"/>
      </top>
      <bottom/>
      <diagonal/>
    </border>
    <border>
      <left/>
      <right style="thick">
        <color rgb="FF00B050"/>
      </right>
      <top/>
      <bottom/>
      <diagonal/>
    </border>
    <border>
      <left/>
      <right style="thick">
        <color rgb="FF00B050"/>
      </right>
      <top style="thin">
        <color auto="1"/>
      </top>
      <bottom/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0" fontId="50" fillId="20" borderId="0" applyNumberFormat="0" applyBorder="0" applyAlignment="0" applyProtection="0"/>
    <xf numFmtId="0" fontId="51" fillId="21" borderId="0" applyNumberFormat="0" applyBorder="0" applyAlignment="0" applyProtection="0"/>
    <xf numFmtId="0" fontId="52" fillId="22" borderId="0" applyNumberFormat="0" applyBorder="0" applyAlignment="0" applyProtection="0"/>
  </cellStyleXfs>
  <cellXfs count="30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1" xfId="0" applyFont="1" applyBorder="1"/>
    <xf numFmtId="0" fontId="1" fillId="0" borderId="0" xfId="0" applyFont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2" fillId="4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left" wrapText="1" indent="1"/>
    </xf>
    <xf numFmtId="0" fontId="4" fillId="0" borderId="0" xfId="0" applyFont="1" applyAlignment="1">
      <alignment horizontal="center" vertical="center"/>
    </xf>
    <xf numFmtId="3" fontId="0" fillId="0" borderId="0" xfId="0" applyNumberFormat="1" applyAlignment="1">
      <alignment horizontal="left" vertical="center"/>
    </xf>
    <xf numFmtId="0" fontId="2" fillId="2" borderId="0" xfId="0" applyFont="1" applyFill="1" applyAlignment="1">
      <alignment horizontal="center"/>
    </xf>
    <xf numFmtId="9" fontId="0" fillId="0" borderId="0" xfId="0" applyNumberFormat="1"/>
    <xf numFmtId="168" fontId="0" fillId="0" borderId="0" xfId="0" applyNumberForma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164" fontId="3" fillId="0" borderId="0" xfId="0" applyNumberFormat="1" applyFont="1" applyAlignment="1">
      <alignment horizontal="center"/>
    </xf>
    <xf numFmtId="164" fontId="3" fillId="10" borderId="0" xfId="0" applyNumberFormat="1" applyFont="1" applyFill="1" applyAlignment="1">
      <alignment horizontal="center"/>
    </xf>
    <xf numFmtId="164" fontId="3" fillId="11" borderId="0" xfId="0" applyNumberFormat="1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0" fontId="9" fillId="0" borderId="0" xfId="0" applyFont="1" applyAlignment="1">
      <alignment horizontal="left" vertical="center"/>
    </xf>
    <xf numFmtId="0" fontId="9" fillId="13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 wrapText="1"/>
    </xf>
    <xf numFmtId="0" fontId="9" fillId="15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/>
    <xf numFmtId="0" fontId="5" fillId="0" borderId="0" xfId="0" applyFont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indent="1"/>
    </xf>
    <xf numFmtId="0" fontId="12" fillId="0" borderId="0" xfId="0" applyFont="1" applyAlignment="1">
      <alignment horizontal="center" vertical="center"/>
    </xf>
    <xf numFmtId="0" fontId="8" fillId="0" borderId="0" xfId="1"/>
    <xf numFmtId="0" fontId="3" fillId="10" borderId="0" xfId="0" applyFont="1" applyFill="1" applyAlignment="1">
      <alignment horizontal="left" indent="1"/>
    </xf>
    <xf numFmtId="0" fontId="3" fillId="12" borderId="0" xfId="0" applyFont="1" applyFill="1" applyAlignment="1">
      <alignment horizontal="left" indent="1"/>
    </xf>
    <xf numFmtId="0" fontId="3" fillId="6" borderId="0" xfId="0" applyFont="1" applyFill="1" applyAlignment="1">
      <alignment horizontal="left" indent="1"/>
    </xf>
    <xf numFmtId="0" fontId="3" fillId="6" borderId="0" xfId="0" applyFont="1" applyFill="1" applyAlignment="1">
      <alignment horizontal="left" vertical="center" indent="1"/>
    </xf>
    <xf numFmtId="0" fontId="9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0" fontId="14" fillId="0" borderId="1" xfId="1" applyFont="1" applyBorder="1" applyAlignment="1">
      <alignment horizontal="left"/>
    </xf>
    <xf numFmtId="0" fontId="15" fillId="16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7" borderId="0" xfId="0" applyFont="1" applyFill="1" applyAlignment="1">
      <alignment horizontal="left" indent="1"/>
    </xf>
    <xf numFmtId="3" fontId="3" fillId="7" borderId="0" xfId="0" applyNumberFormat="1" applyFont="1" applyFill="1" applyAlignment="1">
      <alignment horizontal="center"/>
    </xf>
    <xf numFmtId="0" fontId="11" fillId="0" borderId="0" xfId="0" applyFont="1" applyAlignment="1">
      <alignment horizontal="left"/>
    </xf>
    <xf numFmtId="4" fontId="11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horizontal="left" indent="1"/>
    </xf>
    <xf numFmtId="4" fontId="3" fillId="3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3" fontId="11" fillId="0" borderId="8" xfId="0" applyNumberFormat="1" applyFont="1" applyBorder="1"/>
    <xf numFmtId="0" fontId="3" fillId="3" borderId="0" xfId="0" applyFont="1" applyFill="1" applyAlignment="1">
      <alignment horizontal="center"/>
    </xf>
    <xf numFmtId="0" fontId="9" fillId="3" borderId="0" xfId="0" applyFont="1" applyFill="1" applyAlignment="1">
      <alignment vertical="center"/>
    </xf>
    <xf numFmtId="3" fontId="19" fillId="0" borderId="0" xfId="1" applyNumberFormat="1" applyFont="1"/>
    <xf numFmtId="0" fontId="3" fillId="0" borderId="0" xfId="0" applyFont="1"/>
    <xf numFmtId="0" fontId="3" fillId="11" borderId="0" xfId="0" applyFont="1" applyFill="1" applyAlignment="1">
      <alignment horizontal="left" indent="1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0" fontId="3" fillId="9" borderId="7" xfId="0" applyFont="1" applyFill="1" applyBorder="1" applyAlignment="1">
      <alignment horizontal="center"/>
    </xf>
    <xf numFmtId="3" fontId="3" fillId="3" borderId="10" xfId="0" applyNumberFormat="1" applyFont="1" applyFill="1" applyBorder="1" applyAlignment="1">
      <alignment horizontal="center"/>
    </xf>
    <xf numFmtId="3" fontId="3" fillId="3" borderId="11" xfId="0" applyNumberFormat="1" applyFont="1" applyFill="1" applyBorder="1" applyAlignment="1">
      <alignment horizontal="center"/>
    </xf>
    <xf numFmtId="0" fontId="3" fillId="3" borderId="12" xfId="0" applyFont="1" applyFill="1" applyBorder="1" applyAlignment="1">
      <alignment horizontal="left" indent="1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left" indent="1"/>
    </xf>
    <xf numFmtId="3" fontId="3" fillId="4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168" fontId="3" fillId="4" borderId="0" xfId="0" applyNumberFormat="1" applyFont="1" applyFill="1" applyAlignment="1">
      <alignment horizontal="center"/>
    </xf>
    <xf numFmtId="168" fontId="3" fillId="10" borderId="0" xfId="0" applyNumberFormat="1" applyFont="1" applyFill="1" applyAlignment="1">
      <alignment horizontal="center"/>
    </xf>
    <xf numFmtId="168" fontId="3" fillId="11" borderId="0" xfId="0" applyNumberFormat="1" applyFont="1" applyFill="1" applyAlignment="1">
      <alignment horizontal="center"/>
    </xf>
    <xf numFmtId="168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8" fontId="17" fillId="4" borderId="0" xfId="0" applyNumberFormat="1" applyFont="1" applyFill="1" applyAlignment="1">
      <alignment horizontal="center"/>
    </xf>
    <xf numFmtId="3" fontId="3" fillId="0" borderId="0" xfId="0" applyNumberFormat="1" applyFont="1" applyAlignment="1">
      <alignment horizontal="center" vertical="center"/>
    </xf>
    <xf numFmtId="168" fontId="17" fillId="6" borderId="0" xfId="0" applyNumberFormat="1" applyFont="1" applyFill="1" applyAlignment="1">
      <alignment horizontal="center"/>
    </xf>
    <xf numFmtId="164" fontId="9" fillId="0" borderId="0" xfId="0" applyNumberFormat="1" applyFont="1" applyAlignment="1">
      <alignment horizontal="center"/>
    </xf>
    <xf numFmtId="3" fontId="3" fillId="4" borderId="2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wrapText="1"/>
    </xf>
    <xf numFmtId="166" fontId="25" fillId="6" borderId="0" xfId="0" applyNumberFormat="1" applyFont="1" applyFill="1" applyAlignment="1">
      <alignment horizontal="center"/>
    </xf>
    <xf numFmtId="166" fontId="25" fillId="4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right" indent="1"/>
    </xf>
    <xf numFmtId="0" fontId="9" fillId="4" borderId="1" xfId="0" applyFont="1" applyFill="1" applyBorder="1"/>
    <xf numFmtId="164" fontId="9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left" indent="1"/>
    </xf>
    <xf numFmtId="0" fontId="3" fillId="0" borderId="1" xfId="0" applyFont="1" applyBorder="1" applyAlignment="1">
      <alignment horizontal="left" wrapText="1" indent="1"/>
    </xf>
    <xf numFmtId="3" fontId="3" fillId="0" borderId="0" xfId="0" applyNumberFormat="1" applyFont="1" applyAlignment="1">
      <alignment horizontal="left" vertical="center"/>
    </xf>
    <xf numFmtId="3" fontId="3" fillId="0" borderId="2" xfId="0" applyNumberFormat="1" applyFont="1" applyBorder="1" applyAlignment="1">
      <alignment horizontal="center" vertical="center"/>
    </xf>
    <xf numFmtId="3" fontId="3" fillId="10" borderId="0" xfId="0" applyNumberFormat="1" applyFont="1" applyFill="1" applyAlignment="1">
      <alignment horizontal="center" vertical="center"/>
    </xf>
    <xf numFmtId="0" fontId="9" fillId="8" borderId="0" xfId="0" applyFont="1" applyFill="1"/>
    <xf numFmtId="3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3" fillId="8" borderId="0" xfId="0" applyNumberFormat="1" applyFont="1" applyFill="1" applyAlignment="1">
      <alignment horizontal="center"/>
    </xf>
    <xf numFmtId="3" fontId="3" fillId="8" borderId="0" xfId="0" applyNumberFormat="1" applyFont="1" applyFill="1" applyAlignment="1">
      <alignment horizontal="center" vertical="center"/>
    </xf>
    <xf numFmtId="0" fontId="9" fillId="8" borderId="1" xfId="0" applyFont="1" applyFill="1" applyBorder="1" applyAlignment="1">
      <alignment horizontal="left"/>
    </xf>
    <xf numFmtId="3" fontId="17" fillId="8" borderId="0" xfId="0" applyNumberFormat="1" applyFont="1" applyFill="1" applyAlignment="1">
      <alignment horizontal="center" vertical="center"/>
    </xf>
    <xf numFmtId="3" fontId="17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7" fillId="0" borderId="1" xfId="0" applyFont="1" applyBorder="1"/>
    <xf numFmtId="3" fontId="27" fillId="0" borderId="2" xfId="0" applyNumberFormat="1" applyFont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0" fontId="9" fillId="0" borderId="1" xfId="0" applyFont="1" applyBorder="1"/>
    <xf numFmtId="3" fontId="9" fillId="5" borderId="0" xfId="0" applyNumberFormat="1" applyFont="1" applyFill="1" applyAlignment="1">
      <alignment horizontal="left" vertical="center"/>
    </xf>
    <xf numFmtId="3" fontId="9" fillId="5" borderId="0" xfId="0" applyNumberFormat="1" applyFont="1" applyFill="1" applyAlignment="1">
      <alignment horizontal="center" vertical="center"/>
    </xf>
    <xf numFmtId="0" fontId="9" fillId="6" borderId="0" xfId="0" applyFont="1" applyFill="1" applyAlignment="1">
      <alignment horizontal="left"/>
    </xf>
    <xf numFmtId="0" fontId="9" fillId="6" borderId="0" xfId="0" applyFont="1" applyFill="1" applyAlignment="1">
      <alignment horizontal="center"/>
    </xf>
    <xf numFmtId="0" fontId="3" fillId="5" borderId="1" xfId="0" applyFont="1" applyFill="1" applyBorder="1" applyAlignment="1">
      <alignment horizontal="left" indent="1"/>
    </xf>
    <xf numFmtId="165" fontId="3" fillId="5" borderId="0" xfId="0" applyNumberFormat="1" applyFont="1" applyFill="1" applyAlignment="1">
      <alignment horizontal="center" vertical="center"/>
    </xf>
    <xf numFmtId="165" fontId="3" fillId="6" borderId="0" xfId="0" applyNumberFormat="1" applyFont="1" applyFill="1" applyAlignment="1">
      <alignment horizontal="center" vertical="center"/>
    </xf>
    <xf numFmtId="0" fontId="3" fillId="0" borderId="3" xfId="0" applyFont="1" applyBorder="1"/>
    <xf numFmtId="165" fontId="3" fillId="10" borderId="0" xfId="0" applyNumberFormat="1" applyFont="1" applyFill="1" applyAlignment="1">
      <alignment horizontal="center"/>
    </xf>
    <xf numFmtId="165" fontId="3" fillId="11" borderId="0" xfId="0" applyNumberFormat="1" applyFont="1" applyFill="1" applyAlignment="1">
      <alignment horizontal="center" vertical="center"/>
    </xf>
    <xf numFmtId="0" fontId="9" fillId="5" borderId="1" xfId="0" applyFont="1" applyFill="1" applyBorder="1" applyAlignment="1">
      <alignment horizontal="left"/>
    </xf>
    <xf numFmtId="166" fontId="9" fillId="5" borderId="2" xfId="0" applyNumberFormat="1" applyFont="1" applyFill="1" applyBorder="1" applyAlignment="1">
      <alignment horizontal="center" vertical="center"/>
    </xf>
    <xf numFmtId="166" fontId="9" fillId="5" borderId="3" xfId="0" applyNumberFormat="1" applyFont="1" applyFill="1" applyBorder="1" applyAlignment="1">
      <alignment horizontal="center" vertical="center"/>
    </xf>
    <xf numFmtId="165" fontId="3" fillId="6" borderId="2" xfId="0" applyNumberFormat="1" applyFont="1" applyFill="1" applyBorder="1" applyAlignment="1">
      <alignment horizontal="center" vertical="center"/>
    </xf>
    <xf numFmtId="165" fontId="9" fillId="6" borderId="3" xfId="0" applyNumberFormat="1" applyFont="1" applyFill="1" applyBorder="1" applyAlignment="1">
      <alignment horizontal="center" vertical="center"/>
    </xf>
    <xf numFmtId="0" fontId="19" fillId="5" borderId="0" xfId="1" applyFont="1" applyFill="1" applyAlignment="1">
      <alignment horizontal="left"/>
    </xf>
    <xf numFmtId="165" fontId="3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64" fontId="3" fillId="5" borderId="0" xfId="0" applyNumberFormat="1" applyFont="1" applyFill="1" applyAlignment="1">
      <alignment horizontal="center"/>
    </xf>
    <xf numFmtId="0" fontId="9" fillId="0" borderId="3" xfId="0" applyFont="1" applyBorder="1" applyAlignment="1">
      <alignment horizontal="left"/>
    </xf>
    <xf numFmtId="167" fontId="29" fillId="0" borderId="3" xfId="0" applyNumberFormat="1" applyFont="1" applyBorder="1" applyAlignment="1">
      <alignment horizontal="center"/>
    </xf>
    <xf numFmtId="0" fontId="11" fillId="0" borderId="0" xfId="0" applyFont="1" applyAlignment="1">
      <alignment wrapText="1"/>
    </xf>
    <xf numFmtId="0" fontId="18" fillId="0" borderId="0" xfId="0" applyFont="1" applyAlignment="1">
      <alignment horizontal="left" vertical="center"/>
    </xf>
    <xf numFmtId="0" fontId="3" fillId="3" borderId="0" xfId="0" applyFont="1" applyFill="1" applyAlignment="1">
      <alignment horizontal="left" vertical="center" indent="1"/>
    </xf>
    <xf numFmtId="0" fontId="3" fillId="10" borderId="1" xfId="0" applyFont="1" applyFill="1" applyBorder="1" applyAlignment="1">
      <alignment horizontal="left" vertical="center" wrapText="1" indent="1"/>
    </xf>
    <xf numFmtId="0" fontId="9" fillId="2" borderId="0" xfId="0" applyFont="1" applyFill="1" applyAlignment="1">
      <alignment horizontal="center"/>
    </xf>
    <xf numFmtId="0" fontId="25" fillId="17" borderId="0" xfId="0" applyFont="1" applyFill="1" applyAlignment="1">
      <alignment horizontal="center"/>
    </xf>
    <xf numFmtId="0" fontId="25" fillId="18" borderId="0" xfId="0" applyFont="1" applyFill="1" applyAlignment="1">
      <alignment horizontal="center"/>
    </xf>
    <xf numFmtId="0" fontId="3" fillId="3" borderId="13" xfId="0" applyFont="1" applyFill="1" applyBorder="1" applyAlignment="1">
      <alignment horizontal="left" indent="1"/>
    </xf>
    <xf numFmtId="166" fontId="3" fillId="0" borderId="7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9" fontId="3" fillId="0" borderId="6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left"/>
    </xf>
    <xf numFmtId="0" fontId="19" fillId="0" borderId="0" xfId="1" applyFont="1" applyFill="1" applyAlignment="1">
      <alignment horizontal="left"/>
    </xf>
    <xf numFmtId="165" fontId="3" fillId="0" borderId="0" xfId="0" applyNumberFormat="1" applyFont="1" applyAlignment="1">
      <alignment horizontal="center"/>
    </xf>
    <xf numFmtId="0" fontId="9" fillId="4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3" fillId="10" borderId="0" xfId="0" applyFont="1" applyFill="1" applyAlignment="1">
      <alignment horizontal="left" indent="2"/>
    </xf>
    <xf numFmtId="0" fontId="3" fillId="11" borderId="0" xfId="0" applyFont="1" applyFill="1" applyAlignment="1">
      <alignment horizontal="left" indent="2"/>
    </xf>
    <xf numFmtId="0" fontId="3" fillId="6" borderId="0" xfId="0" applyFont="1" applyFill="1" applyAlignment="1">
      <alignment horizontal="left" indent="2"/>
    </xf>
    <xf numFmtId="0" fontId="3" fillId="0" borderId="0" xfId="0" applyFont="1" applyAlignment="1">
      <alignment horizontal="left" vertical="center" indent="1"/>
    </xf>
    <xf numFmtId="0" fontId="3" fillId="6" borderId="0" xfId="0" applyFont="1" applyFill="1" applyAlignment="1">
      <alignment horizontal="left" vertical="center" indent="2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/>
    </xf>
    <xf numFmtId="168" fontId="17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right" vertical="center"/>
    </xf>
    <xf numFmtId="3" fontId="3" fillId="19" borderId="0" xfId="0" applyNumberFormat="1" applyFont="1" applyFill="1" applyAlignment="1">
      <alignment horizontal="center" vertical="center"/>
    </xf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 applyAlignment="1">
      <alignment horizontal="left" vertical="center"/>
    </xf>
    <xf numFmtId="0" fontId="31" fillId="0" borderId="0" xfId="0" applyFont="1" applyAlignment="1">
      <alignment horizontal="left" indent="1"/>
    </xf>
    <xf numFmtId="3" fontId="31" fillId="4" borderId="0" xfId="0" applyNumberFormat="1" applyFont="1" applyFill="1" applyAlignment="1">
      <alignment horizontal="center" vertical="center"/>
    </xf>
    <xf numFmtId="3" fontId="31" fillId="0" borderId="0" xfId="0" applyNumberFormat="1" applyFont="1" applyAlignment="1">
      <alignment horizontal="center" vertical="center"/>
    </xf>
    <xf numFmtId="0" fontId="31" fillId="6" borderId="0" xfId="0" applyFont="1" applyFill="1" applyAlignment="1">
      <alignment horizontal="left" indent="2"/>
    </xf>
    <xf numFmtId="0" fontId="31" fillId="10" borderId="0" xfId="0" applyFont="1" applyFill="1" applyAlignment="1">
      <alignment horizontal="left" indent="2"/>
    </xf>
    <xf numFmtId="0" fontId="31" fillId="0" borderId="0" xfId="0" applyFont="1" applyAlignment="1">
      <alignment horizontal="left" vertical="center" indent="1"/>
    </xf>
    <xf numFmtId="3" fontId="31" fillId="4" borderId="0" xfId="0" applyNumberFormat="1" applyFont="1" applyFill="1" applyAlignment="1">
      <alignment horizontal="center"/>
    </xf>
    <xf numFmtId="0" fontId="31" fillId="6" borderId="0" xfId="0" applyFont="1" applyFill="1" applyAlignment="1">
      <alignment horizontal="left" vertical="center" indent="2"/>
    </xf>
    <xf numFmtId="0" fontId="32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3" fontId="31" fillId="0" borderId="2" xfId="0" applyNumberFormat="1" applyFont="1" applyBorder="1" applyAlignment="1">
      <alignment horizontal="center" vertical="center"/>
    </xf>
    <xf numFmtId="4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3" fontId="31" fillId="8" borderId="0" xfId="0" applyNumberFormat="1" applyFont="1" applyFill="1" applyAlignment="1">
      <alignment horizontal="center" vertical="center"/>
    </xf>
    <xf numFmtId="0" fontId="34" fillId="13" borderId="0" xfId="0" applyFont="1" applyFill="1" applyAlignment="1">
      <alignment horizontal="left" indent="2"/>
    </xf>
    <xf numFmtId="0" fontId="34" fillId="13" borderId="0" xfId="0" applyFont="1" applyFill="1" applyAlignment="1">
      <alignment horizontal="left" vertical="center" indent="2"/>
    </xf>
    <xf numFmtId="3" fontId="33" fillId="0" borderId="0" xfId="0" applyNumberFormat="1" applyFont="1" applyAlignment="1">
      <alignment horizontal="center" vertical="center"/>
    </xf>
    <xf numFmtId="0" fontId="33" fillId="0" borderId="0" xfId="0" applyFont="1"/>
    <xf numFmtId="0" fontId="33" fillId="4" borderId="0" xfId="0" applyFont="1" applyFill="1" applyAlignment="1">
      <alignment horizontal="left" vertical="center" wrapText="1"/>
    </xf>
    <xf numFmtId="0" fontId="33" fillId="8" borderId="0" xfId="0" applyFont="1" applyFill="1" applyAlignment="1">
      <alignment horizontal="left" vertical="center" wrapText="1"/>
    </xf>
    <xf numFmtId="4" fontId="0" fillId="8" borderId="15" xfId="0" applyNumberFormat="1" applyFill="1" applyBorder="1" applyAlignment="1">
      <alignment horizontal="center" vertical="center"/>
    </xf>
    <xf numFmtId="170" fontId="7" fillId="4" borderId="15" xfId="0" applyNumberFormat="1" applyFont="1" applyFill="1" applyBorder="1" applyAlignment="1">
      <alignment horizontal="center" vertical="center"/>
    </xf>
    <xf numFmtId="10" fontId="31" fillId="0" borderId="0" xfId="0" applyNumberFormat="1" applyFont="1" applyAlignment="1">
      <alignment horizontal="center" vertical="center"/>
    </xf>
    <xf numFmtId="164" fontId="31" fillId="3" borderId="0" xfId="0" applyNumberFormat="1" applyFont="1" applyFill="1" applyAlignment="1">
      <alignment horizontal="center" vertical="center"/>
    </xf>
    <xf numFmtId="164" fontId="31" fillId="0" borderId="0" xfId="0" applyNumberFormat="1" applyFont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3" fillId="6" borderId="0" xfId="0" applyNumberFormat="1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" fontId="3" fillId="13" borderId="0" xfId="0" applyNumberFormat="1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0" fontId="6" fillId="7" borderId="0" xfId="0" applyFont="1" applyFill="1" applyAlignment="1">
      <alignment horizontal="left" indent="1"/>
    </xf>
    <xf numFmtId="0" fontId="6" fillId="0" borderId="0" xfId="0" applyFont="1" applyAlignment="1">
      <alignment horizontal="left" indent="1"/>
    </xf>
    <xf numFmtId="0" fontId="6" fillId="3" borderId="0" xfId="0" applyFont="1" applyFill="1" applyAlignment="1">
      <alignment horizontal="left" indent="1"/>
    </xf>
    <xf numFmtId="0" fontId="6" fillId="3" borderId="0" xfId="0" applyFont="1" applyFill="1" applyAlignment="1">
      <alignment horizontal="left" vertical="center" indent="1"/>
    </xf>
    <xf numFmtId="0" fontId="6" fillId="0" borderId="0" xfId="0" applyFont="1" applyAlignment="1">
      <alignment horizontal="right" vertical="center"/>
    </xf>
    <xf numFmtId="0" fontId="6" fillId="3" borderId="0" xfId="0" applyFont="1" applyFill="1" applyAlignment="1">
      <alignment horizontal="center" vertical="center"/>
    </xf>
    <xf numFmtId="0" fontId="6" fillId="0" borderId="0" xfId="0" applyFont="1"/>
    <xf numFmtId="3" fontId="7" fillId="4" borderId="14" xfId="0" applyNumberFormat="1" applyFont="1" applyFill="1" applyBorder="1" applyAlignment="1">
      <alignment horizontal="left" vertical="center" wrapText="1"/>
    </xf>
    <xf numFmtId="9" fontId="38" fillId="0" borderId="0" xfId="0" applyNumberFormat="1" applyFont="1" applyAlignment="1">
      <alignment horizontal="center" vertical="center"/>
    </xf>
    <xf numFmtId="9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9" fillId="5" borderId="0" xfId="1" applyFont="1" applyFill="1" applyAlignment="1">
      <alignment horizontal="left"/>
    </xf>
    <xf numFmtId="9" fontId="3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0" fontId="33" fillId="0" borderId="4" xfId="0" applyFont="1" applyBorder="1" applyAlignment="1">
      <alignment horizontal="right" vertical="center"/>
    </xf>
    <xf numFmtId="0" fontId="31" fillId="0" borderId="16" xfId="0" applyFont="1" applyBorder="1"/>
    <xf numFmtId="3" fontId="31" fillId="0" borderId="16" xfId="0" applyNumberFormat="1" applyFont="1" applyBorder="1" applyAlignment="1">
      <alignment horizontal="center" vertical="center"/>
    </xf>
    <xf numFmtId="3" fontId="33" fillId="0" borderId="17" xfId="0" applyNumberFormat="1" applyFont="1" applyBorder="1" applyAlignment="1">
      <alignment horizontal="center" vertical="center"/>
    </xf>
    <xf numFmtId="3" fontId="33" fillId="0" borderId="16" xfId="0" applyNumberFormat="1" applyFont="1" applyBorder="1" applyAlignment="1">
      <alignment horizontal="center" vertical="center"/>
    </xf>
    <xf numFmtId="3" fontId="18" fillId="0" borderId="17" xfId="0" applyNumberFormat="1" applyFont="1" applyBorder="1" applyAlignment="1">
      <alignment horizontal="center" vertical="center"/>
    </xf>
    <xf numFmtId="9" fontId="3" fillId="5" borderId="16" xfId="0" applyNumberFormat="1" applyFont="1" applyFill="1" applyBorder="1" applyAlignment="1">
      <alignment horizontal="center"/>
    </xf>
    <xf numFmtId="0" fontId="31" fillId="0" borderId="18" xfId="0" applyFont="1" applyBorder="1"/>
    <xf numFmtId="1" fontId="31" fillId="0" borderId="18" xfId="0" applyNumberFormat="1" applyFont="1" applyBorder="1" applyAlignment="1">
      <alignment horizontal="center" vertical="center"/>
    </xf>
    <xf numFmtId="3" fontId="33" fillId="0" borderId="19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center" vertical="center"/>
    </xf>
    <xf numFmtId="9" fontId="3" fillId="6" borderId="18" xfId="0" applyNumberFormat="1" applyFont="1" applyFill="1" applyBorder="1" applyAlignment="1">
      <alignment horizontal="center"/>
    </xf>
    <xf numFmtId="0" fontId="40" fillId="0" borderId="16" xfId="0" applyFont="1" applyBorder="1" applyAlignment="1">
      <alignment horizontal="center" vertical="center" wrapText="1"/>
    </xf>
    <xf numFmtId="0" fontId="41" fillId="0" borderId="18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3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3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left"/>
    </xf>
    <xf numFmtId="3" fontId="39" fillId="0" borderId="0" xfId="1" applyNumberFormat="1" applyFont="1"/>
    <xf numFmtId="0" fontId="44" fillId="0" borderId="0" xfId="0" applyFont="1" applyAlignment="1">
      <alignment horizontal="left" vertical="center"/>
    </xf>
    <xf numFmtId="0" fontId="39" fillId="0" borderId="0" xfId="1" applyFont="1" applyFill="1" applyAlignment="1">
      <alignment horizontal="left"/>
    </xf>
    <xf numFmtId="3" fontId="31" fillId="9" borderId="15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wrapText="1"/>
    </xf>
    <xf numFmtId="3" fontId="6" fillId="8" borderId="14" xfId="0" applyNumberFormat="1" applyFont="1" applyFill="1" applyBorder="1" applyAlignment="1">
      <alignment horizontal="center" vertical="center" wrapText="1"/>
    </xf>
    <xf numFmtId="0" fontId="37" fillId="0" borderId="0" xfId="0" applyFont="1"/>
    <xf numFmtId="0" fontId="38" fillId="0" borderId="0" xfId="0" applyFont="1"/>
    <xf numFmtId="3" fontId="11" fillId="4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left"/>
    </xf>
    <xf numFmtId="3" fontId="11" fillId="8" borderId="0" xfId="0" applyNumberFormat="1" applyFont="1" applyFill="1" applyAlignment="1">
      <alignment horizontal="center"/>
    </xf>
    <xf numFmtId="3" fontId="11" fillId="8" borderId="0" xfId="0" applyNumberFormat="1" applyFont="1" applyFill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49" fillId="0" borderId="0" xfId="0" applyFont="1"/>
    <xf numFmtId="0" fontId="6" fillId="0" borderId="0" xfId="0" applyFont="1" applyAlignment="1">
      <alignment horizontal="left" vertical="center" indent="1"/>
    </xf>
    <xf numFmtId="0" fontId="33" fillId="7" borderId="0" xfId="0" applyFont="1" applyFill="1" applyAlignment="1">
      <alignment horizontal="left" vertical="center" wrapText="1"/>
    </xf>
    <xf numFmtId="3" fontId="31" fillId="7" borderId="0" xfId="0" applyNumberFormat="1" applyFont="1" applyFill="1" applyAlignment="1">
      <alignment horizontal="center" vertical="center"/>
    </xf>
    <xf numFmtId="0" fontId="33" fillId="23" borderId="0" xfId="0" applyFont="1" applyFill="1" applyAlignment="1">
      <alignment wrapText="1"/>
    </xf>
    <xf numFmtId="3" fontId="6" fillId="23" borderId="14" xfId="0" applyNumberFormat="1" applyFont="1" applyFill="1" applyBorder="1" applyAlignment="1">
      <alignment horizontal="center" vertical="center" wrapText="1"/>
    </xf>
    <xf numFmtId="3" fontId="31" fillId="23" borderId="0" xfId="0" applyNumberFormat="1" applyFont="1" applyFill="1" applyAlignment="1">
      <alignment horizontal="center"/>
    </xf>
    <xf numFmtId="3" fontId="31" fillId="23" borderId="0" xfId="0" applyNumberFormat="1" applyFont="1" applyFill="1" applyAlignment="1">
      <alignment horizontal="center" vertical="center"/>
    </xf>
    <xf numFmtId="3" fontId="0" fillId="0" borderId="0" xfId="0" applyNumberFormat="1"/>
    <xf numFmtId="165" fontId="0" fillId="0" borderId="0" xfId="0" applyNumberFormat="1"/>
    <xf numFmtId="0" fontId="2" fillId="0" borderId="0" xfId="0" applyFont="1"/>
    <xf numFmtId="10" fontId="0" fillId="0" borderId="0" xfId="0" applyNumberFormat="1"/>
    <xf numFmtId="4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7" fillId="7" borderId="14" xfId="0" applyFont="1" applyFill="1" applyBorder="1" applyAlignment="1">
      <alignment horizontal="left" vertical="center" wrapText="1"/>
    </xf>
    <xf numFmtId="169" fontId="2" fillId="7" borderId="15" xfId="0" applyNumberFormat="1" applyFont="1" applyFill="1" applyBorder="1" applyAlignment="1">
      <alignment horizontal="center" vertical="center"/>
    </xf>
    <xf numFmtId="0" fontId="50" fillId="20" borderId="0" xfId="2"/>
    <xf numFmtId="0" fontId="52" fillId="22" borderId="0" xfId="4"/>
    <xf numFmtId="0" fontId="51" fillId="21" borderId="0" xfId="3"/>
    <xf numFmtId="0" fontId="50" fillId="20" borderId="0" xfId="2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164" fontId="0" fillId="0" borderId="0" xfId="0" applyNumberFormat="1"/>
    <xf numFmtId="164" fontId="2" fillId="0" borderId="0" xfId="0" applyNumberFormat="1" applyFont="1"/>
    <xf numFmtId="164" fontId="33" fillId="0" borderId="18" xfId="0" applyNumberFormat="1" applyFont="1" applyBorder="1" applyAlignment="1">
      <alignment horizontal="center" vertical="center"/>
    </xf>
    <xf numFmtId="0" fontId="33" fillId="10" borderId="0" xfId="0" applyFont="1" applyFill="1" applyAlignment="1">
      <alignment horizontal="left" vertical="center"/>
    </xf>
    <xf numFmtId="3" fontId="33" fillId="10" borderId="16" xfId="0" applyNumberFormat="1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3" fontId="31" fillId="24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9" fontId="0" fillId="0" borderId="0" xfId="0" applyNumberFormat="1" applyAlignment="1">
      <alignment horizontal="center"/>
    </xf>
    <xf numFmtId="3" fontId="0" fillId="0" borderId="2" xfId="0" applyNumberFormat="1" applyBorder="1" applyAlignment="1">
      <alignment horizontal="center" vertical="center"/>
    </xf>
    <xf numFmtId="3" fontId="53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53" fillId="0" borderId="0" xfId="0" applyNumberFormat="1" applyFont="1" applyAlignment="1">
      <alignment horizontal="center" vertical="center"/>
    </xf>
    <xf numFmtId="0" fontId="25" fillId="0" borderId="0" xfId="0" applyFont="1"/>
    <xf numFmtId="0" fontId="0" fillId="25" borderId="0" xfId="0" applyFill="1" applyAlignment="1">
      <alignment horizontal="center"/>
    </xf>
    <xf numFmtId="9" fontId="0" fillId="25" borderId="0" xfId="0" applyNumberFormat="1" applyFill="1" applyAlignment="1">
      <alignment horizontal="center"/>
    </xf>
    <xf numFmtId="3" fontId="0" fillId="25" borderId="0" xfId="0" applyNumberFormat="1" applyFill="1" applyAlignment="1">
      <alignment horizontal="center" vertical="center"/>
    </xf>
    <xf numFmtId="165" fontId="0" fillId="25" borderId="0" xfId="0" applyNumberFormat="1" applyFill="1" applyAlignment="1">
      <alignment horizontal="center" vertical="center"/>
    </xf>
    <xf numFmtId="0" fontId="0" fillId="25" borderId="0" xfId="0" applyFill="1" applyAlignment="1">
      <alignment horizontal="center" vertical="center"/>
    </xf>
    <xf numFmtId="1" fontId="0" fillId="0" borderId="0" xfId="0" applyNumberFormat="1"/>
    <xf numFmtId="1" fontId="0" fillId="0" borderId="0" xfId="0" applyNumberFormat="1" applyAlignment="1">
      <alignment horizontal="center" vertical="center"/>
    </xf>
    <xf numFmtId="165" fontId="0" fillId="0" borderId="2" xfId="0" applyNumberFormat="1" applyBorder="1"/>
    <xf numFmtId="3" fontId="11" fillId="4" borderId="3" xfId="0" applyNumberFormat="1" applyFont="1" applyFill="1" applyBorder="1" applyAlignment="1">
      <alignment horizontal="center" vertical="center"/>
    </xf>
    <xf numFmtId="3" fontId="11" fillId="8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3" fontId="3" fillId="8" borderId="3" xfId="0" applyNumberFormat="1" applyFont="1" applyFill="1" applyBorder="1" applyAlignment="1">
      <alignment horizontal="center" vertical="center"/>
    </xf>
    <xf numFmtId="3" fontId="3" fillId="4" borderId="3" xfId="0" applyNumberFormat="1" applyFont="1" applyFill="1" applyBorder="1" applyAlignment="1">
      <alignment horizontal="center" vertical="center"/>
    </xf>
  </cellXfs>
  <cellStyles count="5">
    <cellStyle name="Gut" xfId="2" builtinId="26"/>
    <cellStyle name="Link" xfId="1" builtinId="8"/>
    <cellStyle name="Neutral" xfId="4" builtinId="28"/>
    <cellStyle name="Schlecht" xfId="3" builtinId="27"/>
    <cellStyle name="Standard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THG</a:t>
            </a:r>
            <a:r>
              <a:rPr lang="de-DE" baseline="0"/>
              <a:t> Emissionen Straßenverkehr Nürnberg</a:t>
            </a:r>
          </a:p>
          <a:p>
            <a:pPr>
              <a:defRPr/>
            </a:pPr>
            <a:r>
              <a:rPr lang="de-DE" baseline="0"/>
              <a:t>[kt]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'THG 2023'!$J$40</c:f>
              <c:strCache>
                <c:ptCount val="1"/>
                <c:pt idx="0">
                  <c:v>Personen Kordon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'THG 2023'!$K$39:$L$39</c:f>
              <c:strCache>
                <c:ptCount val="2"/>
                <c:pt idx="0">
                  <c:v>Heute</c:v>
                </c:pt>
                <c:pt idx="1">
                  <c:v>Morgen</c:v>
                </c:pt>
              </c:strCache>
            </c:strRef>
          </c:cat>
          <c:val>
            <c:numRef>
              <c:f>'THG 2023'!$K$40:$L$40</c:f>
              <c:numCache>
                <c:formatCode>#,##0</c:formatCode>
                <c:ptCount val="2"/>
                <c:pt idx="0">
                  <c:v>330.51242044515692</c:v>
                </c:pt>
                <c:pt idx="1">
                  <c:v>178.93558554437539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8-4D3A-8416-CB766030497D}"/>
            </c:ext>
          </c:extLst>
        </c:ser>
        <c:ser>
          <c:idx val="1"/>
          <c:order val="1"/>
          <c:tx>
            <c:strRef>
              <c:f>'THG 2023'!$J$41</c:f>
              <c:strCache>
                <c:ptCount val="1"/>
                <c:pt idx="0">
                  <c:v>Personen Innen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'THG 2023'!$K$39:$L$39</c:f>
              <c:strCache>
                <c:ptCount val="2"/>
                <c:pt idx="0">
                  <c:v>Heute</c:v>
                </c:pt>
                <c:pt idx="1">
                  <c:v>Morgen</c:v>
                </c:pt>
              </c:strCache>
            </c:strRef>
          </c:cat>
          <c:val>
            <c:numRef>
              <c:f>'THG 2023'!$K$41:$L$41</c:f>
              <c:numCache>
                <c:formatCode>#,##0</c:formatCode>
                <c:ptCount val="2"/>
                <c:pt idx="0">
                  <c:v>115.57114456086001</c:v>
                </c:pt>
                <c:pt idx="1">
                  <c:v>61.778104758151201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8-4D3A-8416-CB766030497D}"/>
            </c:ext>
          </c:extLst>
        </c:ser>
        <c:ser>
          <c:idx val="2"/>
          <c:order val="2"/>
          <c:tx>
            <c:strRef>
              <c:f>'THG 2023'!$J$42</c:f>
              <c:strCache>
                <c:ptCount val="1"/>
                <c:pt idx="0">
                  <c:v>Last Kordon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'THG 2023'!$K$39:$L$39</c:f>
              <c:strCache>
                <c:ptCount val="2"/>
                <c:pt idx="0">
                  <c:v>Heute</c:v>
                </c:pt>
                <c:pt idx="1">
                  <c:v>Morgen</c:v>
                </c:pt>
              </c:strCache>
            </c:strRef>
          </c:cat>
          <c:val>
            <c:numRef>
              <c:f>'THG 2023'!$K$42:$L$42</c:f>
              <c:numCache>
                <c:formatCode>#,##0</c:formatCode>
                <c:ptCount val="2"/>
                <c:pt idx="0">
                  <c:v>287.61905123722022</c:v>
                </c:pt>
                <c:pt idx="1">
                  <c:v>128.74802047874891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8-4D3A-8416-CB766030497D}"/>
            </c:ext>
          </c:extLst>
        </c:ser>
        <c:ser>
          <c:idx val="3"/>
          <c:order val="3"/>
          <c:tx>
            <c:strRef>
              <c:f>'THG 2023'!$J$43</c:f>
              <c:strCache>
                <c:ptCount val="1"/>
                <c:pt idx="0">
                  <c:v>Last Innen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'THG 2023'!$K$39:$L$39</c:f>
              <c:strCache>
                <c:ptCount val="2"/>
                <c:pt idx="0">
                  <c:v>Heute</c:v>
                </c:pt>
                <c:pt idx="1">
                  <c:v>Morgen</c:v>
                </c:pt>
              </c:strCache>
            </c:strRef>
          </c:cat>
          <c:val>
            <c:numRef>
              <c:f>'THG 2023'!$K$43:$L$43</c:f>
              <c:numCache>
                <c:formatCode>#,##0</c:formatCode>
                <c:ptCount val="2"/>
                <c:pt idx="0">
                  <c:v>286.90248934800002</c:v>
                </c:pt>
                <c:pt idx="1">
                  <c:v>120.26375665047361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58-4D3A-8416-CB7660304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6834447"/>
        <c:axId val="1456833487"/>
      </c:barChart>
      <c:lineChart>
        <c:grouping val="stacked"/>
        <c:varyColors val="0"/>
        <c:ser>
          <c:idx val="4"/>
          <c:order val="4"/>
          <c:tx>
            <c:strRef>
              <c:f>'THG 2023'!$J$44</c:f>
              <c:strCache>
                <c:ptCount val="1"/>
                <c:pt idx="0">
                  <c:v>Summe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'THG 2023'!$K$44:$L$44</c:f>
              <c:numCache>
                <c:formatCode>#,##0</c:formatCode>
                <c:ptCount val="2"/>
                <c:pt idx="0">
                  <c:v>1020.6051055912371</c:v>
                </c:pt>
                <c:pt idx="1">
                  <c:v>489.72546743174911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58-4D3A-8416-CB7660304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34447"/>
        <c:axId val="1456833487"/>
      </c:lineChart>
      <c:catAx>
        <c:axId val="1456834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56833487"/>
        <c:crosses val="autoZero"/>
        <c:auto val="1"/>
        <c:lblAlgn val="ctr"/>
        <c:lblOffset val="100"/>
        <c:noMultiLvlLbl val="0"/>
      </c:catAx>
      <c:valAx>
        <c:axId val="1456833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568344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THG Straßenverkehr Nürnberg [kt]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'Zählung 2023'!$A$137</c:f>
              <c:strCache>
                <c:ptCount val="1"/>
                <c:pt idx="0">
                  <c:v>THG Straßenverkehr Nürnberg [kt]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FBB-4BA5-8881-0B222ED8C69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BB-4BA5-8881-0B222ED8C69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3F-4989-A130-004F2F6963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'Zählung 2023'!$B$123:$D$123</c:f>
              <c:strCache>
                <c:ptCount val="3"/>
                <c:pt idx="0">
                  <c:v>Heute</c:v>
                </c:pt>
                <c:pt idx="1">
                  <c:v>Zwischenschritt</c:v>
                </c:pt>
                <c:pt idx="2">
                  <c:v>Optimal</c:v>
                </c:pt>
              </c:strCache>
            </c:strRef>
          </c:cat>
          <c:val>
            <c:numRef>
              <c:f>'Zählung 2023'!$B$137:$D$137</c:f>
              <c:numCache>
                <c:formatCode>#,##0.0</c:formatCode>
                <c:ptCount val="3"/>
                <c:pt idx="0" formatCode="General">
                  <c:v>833.1</c:v>
                </c:pt>
                <c:pt idx="1">
                  <c:v>642.4</c:v>
                </c:pt>
                <c:pt idx="2">
                  <c:v>319.7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B-4BA5-8881-0B222ED8C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6547456"/>
        <c:axId val="1016554176"/>
      </c:barChart>
      <c:catAx>
        <c:axId val="10165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16554176"/>
        <c:crosses val="autoZero"/>
        <c:auto val="1"/>
        <c:lblAlgn val="ctr"/>
        <c:lblOffset val="100"/>
        <c:noMultiLvlLbl val="0"/>
      </c:catAx>
      <c:valAx>
        <c:axId val="101655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16547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3" Type="http://schemas.openxmlformats.org/officeDocument/2006/relationships/hyperlink" Target="https://www.umweltbundesamt.de/themen/verkehr/emissionsdaten#verkehrsmittelvergleich_personenverkehr_tabelle" TargetMode="External"/><Relationship Id="rId7" Type="http://schemas.openxmlformats.org/officeDocument/2006/relationships/image" Target="../media/image10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9.emf"/><Relationship Id="rId5" Type="http://schemas.openxmlformats.org/officeDocument/2006/relationships/image" Target="../media/image8.png"/><Relationship Id="rId4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https://www.umweltbundesamt.de/themen/verkehr/emissionsdaten#verkehrsmittelvergleich_personenverkehr_tabelle" TargetMode="External"/><Relationship Id="rId7" Type="http://schemas.openxmlformats.org/officeDocument/2006/relationships/image" Target="../media/image10.png"/><Relationship Id="rId2" Type="http://schemas.openxmlformats.org/officeDocument/2006/relationships/image" Target="../media/image5.jpeg"/><Relationship Id="rId1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9.emf"/><Relationship Id="rId4" Type="http://schemas.openxmlformats.org/officeDocument/2006/relationships/image" Target="../media/image7.emf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971551</xdr:colOff>
      <xdr:row>28</xdr:row>
      <xdr:rowOff>9525</xdr:rowOff>
    </xdr:from>
    <xdr:to>
      <xdr:col>2</xdr:col>
      <xdr:colOff>657226</xdr:colOff>
      <xdr:row>45</xdr:row>
      <xdr:rowOff>152872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DD2A9C0-FAB5-B920-29B6-5EFB136F0F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170"/>
        <a:stretch/>
      </xdr:blipFill>
      <xdr:spPr>
        <a:xfrm>
          <a:off x="971551" y="6515100"/>
          <a:ext cx="2895600" cy="3381847"/>
        </a:xfrm>
        <a:prstGeom prst="rect">
          <a:avLst/>
        </a:prstGeom>
      </xdr:spPr>
    </xdr:pic>
    <xdr:clientData/>
  </xdr:twoCellAnchor>
  <xdr:twoCellAnchor>
    <xdr:from>
      <xdr:col>6</xdr:col>
      <xdr:colOff>990600</xdr:colOff>
      <xdr:row>1</xdr:row>
      <xdr:rowOff>19050</xdr:rowOff>
    </xdr:from>
    <xdr:to>
      <xdr:col>7</xdr:col>
      <xdr:colOff>85725</xdr:colOff>
      <xdr:row>6</xdr:row>
      <xdr:rowOff>247650</xdr:rowOff>
    </xdr:to>
    <xdr:sp macro="" textlink="">
      <xdr:nvSpPr>
        <xdr:cNvPr id="5" name="Geschweifte Klammer rechts 4">
          <a:extLst>
            <a:ext uri="{FF2B5EF4-FFF2-40B4-BE49-F238E27FC236}">
              <a16:creationId xmlns:a16="http://schemas.microsoft.com/office/drawing/2014/main" id="{9F3FB171-A043-FCCA-5A65-CE72D25AB257}"/>
            </a:ext>
          </a:extLst>
        </xdr:cNvPr>
        <xdr:cNvSpPr/>
      </xdr:nvSpPr>
      <xdr:spPr>
        <a:xfrm>
          <a:off x="10182225" y="209550"/>
          <a:ext cx="333375" cy="1371600"/>
        </a:xfrm>
        <a:prstGeom prst="rightBrace">
          <a:avLst>
            <a:gd name="adj1" fmla="val 40686"/>
            <a:gd name="adj2" fmla="val 75073"/>
          </a:avLst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 kern="1200"/>
        </a:p>
      </xdr:txBody>
    </xdr:sp>
    <xdr:clientData/>
  </xdr:twoCellAnchor>
  <xdr:twoCellAnchor>
    <xdr:from>
      <xdr:col>7</xdr:col>
      <xdr:colOff>638175</xdr:colOff>
      <xdr:row>9</xdr:row>
      <xdr:rowOff>66675</xdr:rowOff>
    </xdr:from>
    <xdr:to>
      <xdr:col>8</xdr:col>
      <xdr:colOff>209550</xdr:colOff>
      <xdr:row>17</xdr:row>
      <xdr:rowOff>180975</xdr:rowOff>
    </xdr:to>
    <xdr:sp macro="" textlink="">
      <xdr:nvSpPr>
        <xdr:cNvPr id="6" name="Geschweifte Klammer rechts 5">
          <a:extLst>
            <a:ext uri="{FF2B5EF4-FFF2-40B4-BE49-F238E27FC236}">
              <a16:creationId xmlns:a16="http://schemas.microsoft.com/office/drawing/2014/main" id="{6807DBE5-A136-4EBF-9161-29DB1718953B}"/>
            </a:ext>
          </a:extLst>
        </xdr:cNvPr>
        <xdr:cNvSpPr/>
      </xdr:nvSpPr>
      <xdr:spPr>
        <a:xfrm>
          <a:off x="11068050" y="2476500"/>
          <a:ext cx="333375" cy="1733550"/>
        </a:xfrm>
        <a:prstGeom prst="rightBrace">
          <a:avLst>
            <a:gd name="adj1" fmla="val 40686"/>
            <a:gd name="adj2" fmla="val 88962"/>
          </a:avLst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 kern="1200"/>
        </a:p>
      </xdr:txBody>
    </xdr:sp>
    <xdr:clientData/>
  </xdr:twoCellAnchor>
  <xdr:twoCellAnchor>
    <xdr:from>
      <xdr:col>7</xdr:col>
      <xdr:colOff>628650</xdr:colOff>
      <xdr:row>5</xdr:row>
      <xdr:rowOff>47625</xdr:rowOff>
    </xdr:from>
    <xdr:to>
      <xdr:col>8</xdr:col>
      <xdr:colOff>200025</xdr:colOff>
      <xdr:row>9</xdr:row>
      <xdr:rowOff>152400</xdr:rowOff>
    </xdr:to>
    <xdr:sp macro="" textlink="">
      <xdr:nvSpPr>
        <xdr:cNvPr id="7" name="Geschweifte Klammer rechts 6">
          <a:extLst>
            <a:ext uri="{FF2B5EF4-FFF2-40B4-BE49-F238E27FC236}">
              <a16:creationId xmlns:a16="http://schemas.microsoft.com/office/drawing/2014/main" id="{3A1470B0-9AFE-4BAE-8577-1F34F3DFA809}"/>
            </a:ext>
          </a:extLst>
        </xdr:cNvPr>
        <xdr:cNvSpPr/>
      </xdr:nvSpPr>
      <xdr:spPr>
        <a:xfrm>
          <a:off x="11058525" y="1190625"/>
          <a:ext cx="333375" cy="1371600"/>
        </a:xfrm>
        <a:prstGeom prst="rightBrace">
          <a:avLst>
            <a:gd name="adj1" fmla="val 24437"/>
            <a:gd name="adj2" fmla="val 11879"/>
          </a:avLst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 kern="1200"/>
        </a:p>
      </xdr:txBody>
    </xdr:sp>
    <xdr:clientData/>
  </xdr:twoCellAnchor>
  <xdr:twoCellAnchor>
    <xdr:from>
      <xdr:col>0</xdr:col>
      <xdr:colOff>0</xdr:colOff>
      <xdr:row>27</xdr:row>
      <xdr:rowOff>123825</xdr:rowOff>
    </xdr:from>
    <xdr:to>
      <xdr:col>10</xdr:col>
      <xdr:colOff>177806</xdr:colOff>
      <xdr:row>100</xdr:row>
      <xdr:rowOff>4332</xdr:rowOff>
    </xdr:to>
    <xdr:grpSp>
      <xdr:nvGrpSpPr>
        <xdr:cNvPr id="9" name="Gruppieren 8">
          <a:extLst>
            <a:ext uri="{FF2B5EF4-FFF2-40B4-BE49-F238E27FC236}">
              <a16:creationId xmlns:a16="http://schemas.microsoft.com/office/drawing/2014/main" id="{0110D58B-FC37-CDB7-680D-E2F17B298470}"/>
            </a:ext>
          </a:extLst>
        </xdr:cNvPr>
        <xdr:cNvGrpSpPr/>
      </xdr:nvGrpSpPr>
      <xdr:grpSpPr>
        <a:xfrm>
          <a:off x="0" y="6629400"/>
          <a:ext cx="13341356" cy="13929882"/>
          <a:chOff x="-4806338" y="3153742"/>
          <a:chExt cx="13178987" cy="13134402"/>
        </a:xfrm>
      </xdr:grpSpPr>
      <xdr:pic>
        <xdr:nvPicPr>
          <xdr:cNvPr id="2" name="Grafik 1">
            <a:extLst>
              <a:ext uri="{FF2B5EF4-FFF2-40B4-BE49-F238E27FC236}">
                <a16:creationId xmlns:a16="http://schemas.microsoft.com/office/drawing/2014/main" id="{BC40D045-E02F-8998-388F-99EA8351FE1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r="15119"/>
          <a:stretch/>
        </xdr:blipFill>
        <xdr:spPr>
          <a:xfrm>
            <a:off x="-4806338" y="6125844"/>
            <a:ext cx="3989449" cy="10162300"/>
          </a:xfrm>
          <a:prstGeom prst="rect">
            <a:avLst/>
          </a:prstGeom>
        </xdr:spPr>
      </xdr:pic>
      <xdr:pic>
        <xdr:nvPicPr>
          <xdr:cNvPr id="3" name="Grafik 2">
            <a:extLst>
              <a:ext uri="{FF2B5EF4-FFF2-40B4-BE49-F238E27FC236}">
                <a16:creationId xmlns:a16="http://schemas.microsoft.com/office/drawing/2014/main" id="{CC985EC8-7F24-425F-0165-397B074046C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4068"/>
          <a:stretch/>
        </xdr:blipFill>
        <xdr:spPr>
          <a:xfrm>
            <a:off x="-647526" y="3153742"/>
            <a:ext cx="9020175" cy="8306043"/>
          </a:xfrm>
          <a:prstGeom prst="rect">
            <a:avLst/>
          </a:prstGeom>
        </xdr:spPr>
      </xdr:pic>
      <xdr:sp macro="" textlink="">
        <xdr:nvSpPr>
          <xdr:cNvPr id="8" name="Ellipse 7">
            <a:extLst>
              <a:ext uri="{FF2B5EF4-FFF2-40B4-BE49-F238E27FC236}">
                <a16:creationId xmlns:a16="http://schemas.microsoft.com/office/drawing/2014/main" id="{AAF568B2-4502-D73C-1A0A-E5D770D50229}"/>
              </a:ext>
            </a:extLst>
          </xdr:cNvPr>
          <xdr:cNvSpPr/>
        </xdr:nvSpPr>
        <xdr:spPr>
          <a:xfrm>
            <a:off x="2828867" y="10011142"/>
            <a:ext cx="438150" cy="161925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 kern="1200"/>
          </a:p>
        </xdr:txBody>
      </xdr:sp>
    </xdr:grpSp>
    <xdr:clientData/>
  </xdr:twoCellAnchor>
  <xdr:twoCellAnchor editAs="oneCell">
    <xdr:from>
      <xdr:col>2</xdr:col>
      <xdr:colOff>1200150</xdr:colOff>
      <xdr:row>69</xdr:row>
      <xdr:rowOff>133350</xdr:rowOff>
    </xdr:from>
    <xdr:to>
      <xdr:col>12</xdr:col>
      <xdr:colOff>9525</xdr:colOff>
      <xdr:row>124</xdr:row>
      <xdr:rowOff>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33C90A4F-C091-4C73-4DFE-794FD7744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10075" y="14639925"/>
          <a:ext cx="10287000" cy="10487025"/>
        </a:xfrm>
        <a:prstGeom prst="rect">
          <a:avLst/>
        </a:prstGeom>
      </xdr:spPr>
    </xdr:pic>
    <xdr:clientData/>
  </xdr:twoCellAnchor>
  <xdr:twoCellAnchor>
    <xdr:from>
      <xdr:col>18</xdr:col>
      <xdr:colOff>409575</xdr:colOff>
      <xdr:row>106</xdr:row>
      <xdr:rowOff>19051</xdr:rowOff>
    </xdr:from>
    <xdr:to>
      <xdr:col>21</xdr:col>
      <xdr:colOff>123824</xdr:colOff>
      <xdr:row>107</xdr:row>
      <xdr:rowOff>142875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4BF81864-1752-466B-A497-C36DB6C6B357}"/>
            </a:ext>
          </a:extLst>
        </xdr:cNvPr>
        <xdr:cNvSpPr/>
      </xdr:nvSpPr>
      <xdr:spPr>
        <a:xfrm>
          <a:off x="19497675" y="20240626"/>
          <a:ext cx="2000249" cy="31432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 kern="1200"/>
        </a:p>
      </xdr:txBody>
    </xdr:sp>
    <xdr:clientData/>
  </xdr:twoCellAnchor>
  <xdr:twoCellAnchor>
    <xdr:from>
      <xdr:col>4</xdr:col>
      <xdr:colOff>981075</xdr:colOff>
      <xdr:row>6</xdr:row>
      <xdr:rowOff>209550</xdr:rowOff>
    </xdr:from>
    <xdr:to>
      <xdr:col>5</xdr:col>
      <xdr:colOff>304800</xdr:colOff>
      <xdr:row>16</xdr:row>
      <xdr:rowOff>333375</xdr:rowOff>
    </xdr:to>
    <xdr:cxnSp macro="">
      <xdr:nvCxnSpPr>
        <xdr:cNvPr id="14" name="Gerade Verbindung mit Pfeil 13">
          <a:extLst>
            <a:ext uri="{FF2B5EF4-FFF2-40B4-BE49-F238E27FC236}">
              <a16:creationId xmlns:a16="http://schemas.microsoft.com/office/drawing/2014/main" id="{1E80EC89-8AF5-E770-FCDF-769C5F064105}"/>
            </a:ext>
          </a:extLst>
        </xdr:cNvPr>
        <xdr:cNvCxnSpPr/>
      </xdr:nvCxnSpPr>
      <xdr:spPr>
        <a:xfrm flipV="1">
          <a:off x="7124700" y="1733550"/>
          <a:ext cx="1162050" cy="28194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209550</xdr:colOff>
      <xdr:row>18</xdr:row>
      <xdr:rowOff>19050</xdr:rowOff>
    </xdr:from>
    <xdr:to>
      <xdr:col>4</xdr:col>
      <xdr:colOff>704850</xdr:colOff>
      <xdr:row>23</xdr:row>
      <xdr:rowOff>104775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A564AB02-1E03-441A-95B6-74FF178888E5}"/>
            </a:ext>
          </a:extLst>
        </xdr:cNvPr>
        <xdr:cNvCxnSpPr/>
      </xdr:nvCxnSpPr>
      <xdr:spPr>
        <a:xfrm flipH="1">
          <a:off x="6353175" y="4810125"/>
          <a:ext cx="495300" cy="10382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542925</xdr:colOff>
      <xdr:row>117</xdr:row>
      <xdr:rowOff>152401</xdr:rowOff>
    </xdr:from>
    <xdr:to>
      <xdr:col>7</xdr:col>
      <xdr:colOff>342900</xdr:colOff>
      <xdr:row>121</xdr:row>
      <xdr:rowOff>76201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587B3AC9-5363-ABEE-5E9C-56149A776E93}"/>
            </a:ext>
          </a:extLst>
        </xdr:cNvPr>
        <xdr:cNvSpPr/>
      </xdr:nvSpPr>
      <xdr:spPr>
        <a:xfrm>
          <a:off x="8524875" y="23945851"/>
          <a:ext cx="2247900" cy="6858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604308</xdr:colOff>
      <xdr:row>48</xdr:row>
      <xdr:rowOff>181654</xdr:rowOff>
    </xdr:from>
    <xdr:to>
      <xdr:col>7</xdr:col>
      <xdr:colOff>280458</xdr:colOff>
      <xdr:row>53</xdr:row>
      <xdr:rowOff>236687</xdr:rowOff>
    </xdr:to>
    <xdr:pic>
      <xdr:nvPicPr>
        <xdr:cNvPr id="3" name="Inhaltsplatzhalter 7">
          <a:extLst>
            <a:ext uri="{FF2B5EF4-FFF2-40B4-BE49-F238E27FC236}">
              <a16:creationId xmlns:a16="http://schemas.microsoft.com/office/drawing/2014/main" id="{6EA78004-B448-49CB-8BE4-0810F4A8E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33833" y="15716929"/>
          <a:ext cx="990600" cy="1512358"/>
        </a:xfrm>
        <a:prstGeom prst="rect">
          <a:avLst/>
        </a:prstGeom>
        <a:noFill/>
      </xdr:spPr>
    </xdr:pic>
    <xdr:clientData/>
  </xdr:twoCellAnchor>
  <xdr:twoCellAnchor>
    <xdr:from>
      <xdr:col>7</xdr:col>
      <xdr:colOff>57150</xdr:colOff>
      <xdr:row>51</xdr:row>
      <xdr:rowOff>238125</xdr:rowOff>
    </xdr:from>
    <xdr:to>
      <xdr:col>7</xdr:col>
      <xdr:colOff>85725</xdr:colOff>
      <xdr:row>55</xdr:row>
      <xdr:rowOff>295275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5D8828A2-2666-451E-90B6-C00A8DA248FA}"/>
            </a:ext>
          </a:extLst>
        </xdr:cNvPr>
        <xdr:cNvCxnSpPr/>
      </xdr:nvCxnSpPr>
      <xdr:spPr>
        <a:xfrm flipH="1">
          <a:off x="8877300" y="16611600"/>
          <a:ext cx="28575" cy="1219200"/>
        </a:xfrm>
        <a:prstGeom prst="straightConnector1">
          <a:avLst/>
        </a:prstGeom>
        <a:ln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230718</xdr:colOff>
      <xdr:row>53</xdr:row>
      <xdr:rowOff>150284</xdr:rowOff>
    </xdr:from>
    <xdr:to>
      <xdr:col>7</xdr:col>
      <xdr:colOff>180975</xdr:colOff>
      <xdr:row>55</xdr:row>
      <xdr:rowOff>123825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FC93B461-488E-4C91-A624-4B6F4FB84BB1}"/>
            </a:ext>
          </a:extLst>
        </xdr:cNvPr>
        <xdr:cNvSpPr txBox="1"/>
      </xdr:nvSpPr>
      <xdr:spPr>
        <a:xfrm>
          <a:off x="6783918" y="17142884"/>
          <a:ext cx="2217207" cy="5164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DIVAN Daten können  ev. mittlere </a:t>
          </a:r>
          <a:br>
            <a:rPr lang="de-DE" sz="1100"/>
          </a:br>
          <a:r>
            <a:rPr lang="de-DE" sz="1100"/>
            <a:t>Weglänge lw  im Kordon </a:t>
          </a: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präzisieren</a:t>
          </a:r>
          <a:endParaRPr lang="de-DE" sz="1100"/>
        </a:p>
      </xdr:txBody>
    </xdr:sp>
    <xdr:clientData/>
  </xdr:twoCellAnchor>
  <xdr:twoCellAnchor>
    <xdr:from>
      <xdr:col>1</xdr:col>
      <xdr:colOff>1751932</xdr:colOff>
      <xdr:row>57</xdr:row>
      <xdr:rowOff>121228</xdr:rowOff>
    </xdr:from>
    <xdr:to>
      <xdr:col>2</xdr:col>
      <xdr:colOff>1663392</xdr:colOff>
      <xdr:row>57</xdr:row>
      <xdr:rowOff>254403</xdr:rowOff>
    </xdr:to>
    <xdr:sp macro="" textlink="">
      <xdr:nvSpPr>
        <xdr:cNvPr id="6" name="Pfeil: nach rechts 5">
          <a:extLst>
            <a:ext uri="{FF2B5EF4-FFF2-40B4-BE49-F238E27FC236}">
              <a16:creationId xmlns:a16="http://schemas.microsoft.com/office/drawing/2014/main" id="{CAC76419-0506-4B7B-B566-DE0C258F21C9}"/>
            </a:ext>
          </a:extLst>
        </xdr:cNvPr>
        <xdr:cNvSpPr/>
      </xdr:nvSpPr>
      <xdr:spPr>
        <a:xfrm rot="10800000">
          <a:off x="8667082" y="25714903"/>
          <a:ext cx="2121260" cy="13317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5</xdr:col>
      <xdr:colOff>200024</xdr:colOff>
      <xdr:row>59</xdr:row>
      <xdr:rowOff>22417</xdr:rowOff>
    </xdr:from>
    <xdr:to>
      <xdr:col>7</xdr:col>
      <xdr:colOff>85725</xdr:colOff>
      <xdr:row>60</xdr:row>
      <xdr:rowOff>28574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AB00709-293C-4AB6-9869-33174EE4C9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691" t="81165" r="19514" b="11856"/>
        <a:stretch/>
      </xdr:blipFill>
      <xdr:spPr>
        <a:xfrm>
          <a:off x="7048499" y="19729642"/>
          <a:ext cx="2371726" cy="310957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2895600</xdr:colOff>
      <xdr:row>64</xdr:row>
      <xdr:rowOff>180975</xdr:rowOff>
    </xdr:from>
    <xdr:to>
      <xdr:col>1</xdr:col>
      <xdr:colOff>1066800</xdr:colOff>
      <xdr:row>65</xdr:row>
      <xdr:rowOff>200026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BB49D2E3-AFB2-4546-A324-8595FE7D18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691" t="88144" r="19514" b="-2101"/>
        <a:stretch/>
      </xdr:blipFill>
      <xdr:spPr>
        <a:xfrm>
          <a:off x="2895600" y="21012150"/>
          <a:ext cx="1266825" cy="228601"/>
        </a:xfrm>
        <a:prstGeom prst="rect">
          <a:avLst/>
        </a:prstGeom>
      </xdr:spPr>
    </xdr:pic>
    <xdr:clientData/>
  </xdr:twoCellAnchor>
  <xdr:twoCellAnchor>
    <xdr:from>
      <xdr:col>1</xdr:col>
      <xdr:colOff>1047748</xdr:colOff>
      <xdr:row>59</xdr:row>
      <xdr:rowOff>95247</xdr:rowOff>
    </xdr:from>
    <xdr:to>
      <xdr:col>2</xdr:col>
      <xdr:colOff>266699</xdr:colOff>
      <xdr:row>59</xdr:row>
      <xdr:rowOff>180975</xdr:rowOff>
    </xdr:to>
    <xdr:sp macro="" textlink="">
      <xdr:nvSpPr>
        <xdr:cNvPr id="9" name="Pfeil: nach rechts 8">
          <a:extLst>
            <a:ext uri="{FF2B5EF4-FFF2-40B4-BE49-F238E27FC236}">
              <a16:creationId xmlns:a16="http://schemas.microsoft.com/office/drawing/2014/main" id="{E375DC76-F212-43E8-BF9C-436F7834C2C5}"/>
            </a:ext>
          </a:extLst>
        </xdr:cNvPr>
        <xdr:cNvSpPr/>
      </xdr:nvSpPr>
      <xdr:spPr>
        <a:xfrm rot="10800000">
          <a:off x="3962398" y="15849597"/>
          <a:ext cx="266701" cy="85728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0</xdr:col>
      <xdr:colOff>742950</xdr:colOff>
      <xdr:row>70</xdr:row>
      <xdr:rowOff>126321</xdr:rowOff>
    </xdr:from>
    <xdr:to>
      <xdr:col>3</xdr:col>
      <xdr:colOff>200024</xdr:colOff>
      <xdr:row>77</xdr:row>
      <xdr:rowOff>166434</xdr:rowOff>
    </xdr:to>
    <xdr:pic>
      <xdr:nvPicPr>
        <xdr:cNvPr id="11" name="Grafik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AD6BFA-4123-47E3-8D8E-264B2275E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69" t="16659" r="25730" b="38792"/>
        <a:stretch/>
      </xdr:blipFill>
      <xdr:spPr>
        <a:xfrm>
          <a:off x="742950" y="18157146"/>
          <a:ext cx="4638674" cy="1373613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39</xdr:row>
      <xdr:rowOff>219075</xdr:rowOff>
    </xdr:from>
    <xdr:to>
      <xdr:col>7</xdr:col>
      <xdr:colOff>1104899</xdr:colOff>
      <xdr:row>41</xdr:row>
      <xdr:rowOff>160692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8712535-764A-491A-8549-63125690C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10" t="11065" r="3592"/>
        <a:stretch/>
      </xdr:blipFill>
      <xdr:spPr>
        <a:xfrm>
          <a:off x="6934200" y="13944600"/>
          <a:ext cx="3505199" cy="55121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71</xdr:row>
      <xdr:rowOff>0</xdr:rowOff>
    </xdr:from>
    <xdr:to>
      <xdr:col>9</xdr:col>
      <xdr:colOff>205591</xdr:colOff>
      <xdr:row>89</xdr:row>
      <xdr:rowOff>146050</xdr:rowOff>
    </xdr:to>
    <xdr:pic>
      <xdr:nvPicPr>
        <xdr:cNvPr id="10" name="Grafik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A77B72-647C-464E-AB66-941A54B91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4794" r="25490" b="7503"/>
        <a:stretch/>
      </xdr:blipFill>
      <xdr:spPr>
        <a:xfrm>
          <a:off x="7553325" y="19469100"/>
          <a:ext cx="3863191" cy="357505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47</xdr:row>
      <xdr:rowOff>95250</xdr:rowOff>
    </xdr:from>
    <xdr:to>
      <xdr:col>16</xdr:col>
      <xdr:colOff>30692</xdr:colOff>
      <xdr:row>68</xdr:row>
      <xdr:rowOff>128959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ED304D78-64EA-4F34-A79E-96B089A57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29825" y="15325725"/>
          <a:ext cx="7736417" cy="5843959"/>
        </a:xfrm>
        <a:prstGeom prst="rect">
          <a:avLst/>
        </a:prstGeom>
      </xdr:spPr>
    </xdr:pic>
    <xdr:clientData/>
  </xdr:twoCellAnchor>
  <xdr:twoCellAnchor>
    <xdr:from>
      <xdr:col>1</xdr:col>
      <xdr:colOff>428625</xdr:colOff>
      <xdr:row>95</xdr:row>
      <xdr:rowOff>76200</xdr:rowOff>
    </xdr:from>
    <xdr:to>
      <xdr:col>4</xdr:col>
      <xdr:colOff>209550</xdr:colOff>
      <xdr:row>103</xdr:row>
      <xdr:rowOff>85725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93DA87FE-EC52-66BF-7247-9B84B80C458D}"/>
            </a:ext>
          </a:extLst>
        </xdr:cNvPr>
        <xdr:cNvCxnSpPr/>
      </xdr:nvCxnSpPr>
      <xdr:spPr>
        <a:xfrm>
          <a:off x="3419475" y="26336625"/>
          <a:ext cx="2409825" cy="15335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97</xdr:row>
      <xdr:rowOff>95250</xdr:rowOff>
    </xdr:from>
    <xdr:to>
      <xdr:col>4</xdr:col>
      <xdr:colOff>161925</xdr:colOff>
      <xdr:row>104</xdr:row>
      <xdr:rowOff>152400</xdr:rowOff>
    </xdr:to>
    <xdr:cxnSp macro="">
      <xdr:nvCxnSpPr>
        <xdr:cNvPr id="18" name="Gerade Verbindung mit Pfeil 17">
          <a:extLst>
            <a:ext uri="{FF2B5EF4-FFF2-40B4-BE49-F238E27FC236}">
              <a16:creationId xmlns:a16="http://schemas.microsoft.com/office/drawing/2014/main" id="{5877B62E-AF78-4FAD-8F4A-ED24F92CA94D}"/>
            </a:ext>
          </a:extLst>
        </xdr:cNvPr>
        <xdr:cNvCxnSpPr/>
      </xdr:nvCxnSpPr>
      <xdr:spPr>
        <a:xfrm>
          <a:off x="3590925" y="26736675"/>
          <a:ext cx="2190750" cy="13906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342900</xdr:colOff>
      <xdr:row>93</xdr:row>
      <xdr:rowOff>66675</xdr:rowOff>
    </xdr:from>
    <xdr:to>
      <xdr:col>4</xdr:col>
      <xdr:colOff>171450</xdr:colOff>
      <xdr:row>102</xdr:row>
      <xdr:rowOff>104775</xdr:rowOff>
    </xdr:to>
    <xdr:cxnSp macro="">
      <xdr:nvCxnSpPr>
        <xdr:cNvPr id="20" name="Gerade Verbindung mit Pfeil 19">
          <a:extLst>
            <a:ext uri="{FF2B5EF4-FFF2-40B4-BE49-F238E27FC236}">
              <a16:creationId xmlns:a16="http://schemas.microsoft.com/office/drawing/2014/main" id="{EDD50158-4FE5-4C0B-B828-3EF9E745AE97}"/>
            </a:ext>
          </a:extLst>
        </xdr:cNvPr>
        <xdr:cNvCxnSpPr/>
      </xdr:nvCxnSpPr>
      <xdr:spPr>
        <a:xfrm>
          <a:off x="3333750" y="25946100"/>
          <a:ext cx="2457450" cy="1752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333375</xdr:colOff>
      <xdr:row>37</xdr:row>
      <xdr:rowOff>61912</xdr:rowOff>
    </xdr:from>
    <xdr:to>
      <xdr:col>13</xdr:col>
      <xdr:colOff>161925</xdr:colOff>
      <xdr:row>46</xdr:row>
      <xdr:rowOff>61912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97ED58A5-1DBD-1FFB-2E09-713DF0877A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1495426</xdr:colOff>
      <xdr:row>4</xdr:row>
      <xdr:rowOff>38100</xdr:rowOff>
    </xdr:from>
    <xdr:to>
      <xdr:col>0</xdr:col>
      <xdr:colOff>5000625</xdr:colOff>
      <xdr:row>4</xdr:row>
      <xdr:rowOff>589317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4440B7A-7AB7-4683-A883-05D08282F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10" t="11065" r="3592"/>
        <a:stretch/>
      </xdr:blipFill>
      <xdr:spPr>
        <a:xfrm>
          <a:off x="1495426" y="11353800"/>
          <a:ext cx="3505199" cy="551217"/>
        </a:xfrm>
        <a:prstGeom prst="rect">
          <a:avLst/>
        </a:prstGeom>
      </xdr:spPr>
    </xdr:pic>
    <xdr:clientData/>
  </xdr:twoCellAnchor>
  <xdr:twoCellAnchor editAs="oneCell">
    <xdr:from>
      <xdr:col>9</xdr:col>
      <xdr:colOff>442383</xdr:colOff>
      <xdr:row>75</xdr:row>
      <xdr:rowOff>105454</xdr:rowOff>
    </xdr:from>
    <xdr:to>
      <xdr:col>10</xdr:col>
      <xdr:colOff>670983</xdr:colOff>
      <xdr:row>78</xdr:row>
      <xdr:rowOff>246212</xdr:rowOff>
    </xdr:to>
    <xdr:pic>
      <xdr:nvPicPr>
        <xdr:cNvPr id="6" name="Inhaltsplatzhalter 7">
          <a:extLst>
            <a:ext uri="{FF2B5EF4-FFF2-40B4-BE49-F238E27FC236}">
              <a16:creationId xmlns:a16="http://schemas.microsoft.com/office/drawing/2014/main" id="{FE1B9EE0-1BC0-4813-B4D4-0CA0C4D3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333633" y="15027954"/>
          <a:ext cx="990600" cy="998008"/>
        </a:xfrm>
        <a:prstGeom prst="rect">
          <a:avLst/>
        </a:prstGeom>
        <a:noFill/>
      </xdr:spPr>
    </xdr:pic>
    <xdr:clientData/>
  </xdr:twoCellAnchor>
  <xdr:twoCellAnchor>
    <xdr:from>
      <xdr:col>7</xdr:col>
      <xdr:colOff>64558</xdr:colOff>
      <xdr:row>77</xdr:row>
      <xdr:rowOff>129117</xdr:rowOff>
    </xdr:from>
    <xdr:to>
      <xdr:col>10</xdr:col>
      <xdr:colOff>112183</xdr:colOff>
      <xdr:row>77</xdr:row>
      <xdr:rowOff>138642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2BF83C7D-7104-4037-865B-51B94BDBBBE8}"/>
            </a:ext>
          </a:extLst>
        </xdr:cNvPr>
        <xdr:cNvCxnSpPr/>
      </xdr:nvCxnSpPr>
      <xdr:spPr>
        <a:xfrm flipH="1">
          <a:off x="16775641" y="15422034"/>
          <a:ext cx="2989792" cy="9525"/>
        </a:xfrm>
        <a:prstGeom prst="straightConnector1">
          <a:avLst/>
        </a:prstGeom>
        <a:ln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135468</xdr:colOff>
      <xdr:row>77</xdr:row>
      <xdr:rowOff>245534</xdr:rowOff>
    </xdr:from>
    <xdr:to>
      <xdr:col>9</xdr:col>
      <xdr:colOff>335492</xdr:colOff>
      <xdr:row>79</xdr:row>
      <xdr:rowOff>83608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43FABAF3-81E2-4F71-9DCF-B8DCF8409809}"/>
            </a:ext>
          </a:extLst>
        </xdr:cNvPr>
        <xdr:cNvSpPr txBox="1"/>
      </xdr:nvSpPr>
      <xdr:spPr>
        <a:xfrm>
          <a:off x="16846551" y="15538451"/>
          <a:ext cx="2380191" cy="4624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DIVAN Daten können  ev. mittlere </a:t>
          </a:r>
          <a:br>
            <a:rPr lang="de-DE" sz="1100"/>
          </a:br>
          <a:r>
            <a:rPr lang="de-DE" sz="1100"/>
            <a:t>Weglänge lw  im Kordon </a:t>
          </a: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präzisieren</a:t>
          </a:r>
          <a:endParaRPr lang="de-DE" sz="1100"/>
        </a:p>
      </xdr:txBody>
    </xdr:sp>
    <xdr:clientData/>
  </xdr:twoCellAnchor>
  <xdr:twoCellAnchor>
    <xdr:from>
      <xdr:col>3</xdr:col>
      <xdr:colOff>495300</xdr:colOff>
      <xdr:row>800</xdr:row>
      <xdr:rowOff>9525</xdr:rowOff>
    </xdr:from>
    <xdr:to>
      <xdr:col>4</xdr:col>
      <xdr:colOff>704850</xdr:colOff>
      <xdr:row>808</xdr:row>
      <xdr:rowOff>9525</xdr:rowOff>
    </xdr:to>
    <xdr:cxnSp macro="">
      <xdr:nvCxnSpPr>
        <xdr:cNvPr id="12" name="Gerade Verbindung mit Pfeil 11">
          <a:extLst>
            <a:ext uri="{FF2B5EF4-FFF2-40B4-BE49-F238E27FC236}">
              <a16:creationId xmlns:a16="http://schemas.microsoft.com/office/drawing/2014/main" id="{959E678A-453A-4CD2-874A-A9FA43D63934}"/>
            </a:ext>
          </a:extLst>
        </xdr:cNvPr>
        <xdr:cNvCxnSpPr/>
      </xdr:nvCxnSpPr>
      <xdr:spPr>
        <a:xfrm flipH="1" flipV="1">
          <a:off x="7686675" y="145084800"/>
          <a:ext cx="1562100" cy="1524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10849</xdr:colOff>
      <xdr:row>45</xdr:row>
      <xdr:rowOff>161925</xdr:rowOff>
    </xdr:from>
    <xdr:to>
      <xdr:col>9</xdr:col>
      <xdr:colOff>371474</xdr:colOff>
      <xdr:row>48</xdr:row>
      <xdr:rowOff>62717</xdr:rowOff>
    </xdr:to>
    <xdr:pic>
      <xdr:nvPicPr>
        <xdr:cNvPr id="25" name="Grafik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68066F-1614-6744-5C66-66408FE6D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69" t="16659" r="25730" b="38792"/>
        <a:stretch/>
      </xdr:blipFill>
      <xdr:spPr>
        <a:xfrm>
          <a:off x="10393099" y="7200900"/>
          <a:ext cx="3808675" cy="1119992"/>
        </a:xfrm>
        <a:prstGeom prst="rect">
          <a:avLst/>
        </a:prstGeom>
      </xdr:spPr>
    </xdr:pic>
    <xdr:clientData/>
  </xdr:twoCellAnchor>
  <xdr:twoCellAnchor editAs="oneCell">
    <xdr:from>
      <xdr:col>5</xdr:col>
      <xdr:colOff>1351218</xdr:colOff>
      <xdr:row>4</xdr:row>
      <xdr:rowOff>9525</xdr:rowOff>
    </xdr:from>
    <xdr:to>
      <xdr:col>9</xdr:col>
      <xdr:colOff>409576</xdr:colOff>
      <xdr:row>13</xdr:row>
      <xdr:rowOff>219075</xdr:rowOff>
    </xdr:to>
    <xdr:pic>
      <xdr:nvPicPr>
        <xdr:cNvPr id="26" name="Grafik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85E2A7-578C-1132-A4D3-6F95D9D0D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4794" r="25490" b="7503"/>
        <a:stretch/>
      </xdr:blipFill>
      <xdr:spPr>
        <a:xfrm>
          <a:off x="10380918" y="4514850"/>
          <a:ext cx="3858957" cy="3257550"/>
        </a:xfrm>
        <a:prstGeom prst="rect">
          <a:avLst/>
        </a:prstGeom>
      </xdr:spPr>
    </xdr:pic>
    <xdr:clientData/>
  </xdr:twoCellAnchor>
  <xdr:twoCellAnchor>
    <xdr:from>
      <xdr:col>5</xdr:col>
      <xdr:colOff>1162050</xdr:colOff>
      <xdr:row>6</xdr:row>
      <xdr:rowOff>76200</xdr:rowOff>
    </xdr:from>
    <xdr:to>
      <xdr:col>6</xdr:col>
      <xdr:colOff>314325</xdr:colOff>
      <xdr:row>6</xdr:row>
      <xdr:rowOff>76200</xdr:rowOff>
    </xdr:to>
    <xdr:cxnSp macro="">
      <xdr:nvCxnSpPr>
        <xdr:cNvPr id="17" name="Gerade Verbindung mit Pfeil 16">
          <a:extLst>
            <a:ext uri="{FF2B5EF4-FFF2-40B4-BE49-F238E27FC236}">
              <a16:creationId xmlns:a16="http://schemas.microsoft.com/office/drawing/2014/main" id="{65F21A94-F29D-5539-1CD5-7E4D9AB0BDBA}"/>
            </a:ext>
          </a:extLst>
        </xdr:cNvPr>
        <xdr:cNvCxnSpPr/>
      </xdr:nvCxnSpPr>
      <xdr:spPr>
        <a:xfrm flipH="1">
          <a:off x="10191750" y="4219575"/>
          <a:ext cx="504825" cy="0"/>
        </a:xfrm>
        <a:prstGeom prst="straightConnector1">
          <a:avLst/>
        </a:prstGeom>
        <a:ln>
          <a:solidFill>
            <a:schemeClr val="accent3">
              <a:lumMod val="40000"/>
              <a:lumOff val="60000"/>
            </a:schemeClr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647700</xdr:colOff>
      <xdr:row>19</xdr:row>
      <xdr:rowOff>95250</xdr:rowOff>
    </xdr:from>
    <xdr:to>
      <xdr:col>6</xdr:col>
      <xdr:colOff>171450</xdr:colOff>
      <xdr:row>47</xdr:row>
      <xdr:rowOff>0</xdr:rowOff>
    </xdr:to>
    <xdr:cxnSp macro="">
      <xdr:nvCxnSpPr>
        <xdr:cNvPr id="39" name="Gerade Verbindung mit Pfeil 38">
          <a:extLst>
            <a:ext uri="{FF2B5EF4-FFF2-40B4-BE49-F238E27FC236}">
              <a16:creationId xmlns:a16="http://schemas.microsoft.com/office/drawing/2014/main" id="{0DC3C7E9-857F-4783-9775-116E053B11BC}"/>
            </a:ext>
          </a:extLst>
        </xdr:cNvPr>
        <xdr:cNvCxnSpPr/>
      </xdr:nvCxnSpPr>
      <xdr:spPr>
        <a:xfrm flipH="1" flipV="1">
          <a:off x="9677400" y="5648325"/>
          <a:ext cx="876300" cy="1600200"/>
        </a:xfrm>
        <a:prstGeom prst="straightConnector1">
          <a:avLst/>
        </a:prstGeom>
        <a:ln>
          <a:solidFill>
            <a:schemeClr val="accent3">
              <a:lumMod val="40000"/>
              <a:lumOff val="60000"/>
            </a:schemeClr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6267450</xdr:colOff>
      <xdr:row>53</xdr:row>
      <xdr:rowOff>95250</xdr:rowOff>
    </xdr:from>
    <xdr:to>
      <xdr:col>1</xdr:col>
      <xdr:colOff>809625</xdr:colOff>
      <xdr:row>53</xdr:row>
      <xdr:rowOff>238125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90E4BDE-9DBB-4705-84B0-41CB06D4F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1691" t="69111" r="19514" b="21373"/>
        <a:stretch/>
      </xdr:blipFill>
      <xdr:spPr>
        <a:xfrm>
          <a:off x="6267450" y="16706850"/>
          <a:ext cx="1457325" cy="142875"/>
        </a:xfrm>
        <a:prstGeom prst="rect">
          <a:avLst/>
        </a:prstGeom>
      </xdr:spPr>
    </xdr:pic>
    <xdr:clientData/>
  </xdr:twoCellAnchor>
  <xdr:twoCellAnchor>
    <xdr:from>
      <xdr:col>1</xdr:col>
      <xdr:colOff>1751932</xdr:colOff>
      <xdr:row>79</xdr:row>
      <xdr:rowOff>121228</xdr:rowOff>
    </xdr:from>
    <xdr:to>
      <xdr:col>2</xdr:col>
      <xdr:colOff>1663392</xdr:colOff>
      <xdr:row>79</xdr:row>
      <xdr:rowOff>254403</xdr:rowOff>
    </xdr:to>
    <xdr:sp macro="" textlink="">
      <xdr:nvSpPr>
        <xdr:cNvPr id="11" name="Pfeil: nach rechts 10">
          <a:extLst>
            <a:ext uri="{FF2B5EF4-FFF2-40B4-BE49-F238E27FC236}">
              <a16:creationId xmlns:a16="http://schemas.microsoft.com/office/drawing/2014/main" id="{CEDF6F26-F143-45D4-82A4-063920FAC9A1}"/>
            </a:ext>
          </a:extLst>
        </xdr:cNvPr>
        <xdr:cNvSpPr/>
      </xdr:nvSpPr>
      <xdr:spPr>
        <a:xfrm rot="10800000">
          <a:off x="8667082" y="15923203"/>
          <a:ext cx="2245085" cy="133175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0</xdr:col>
      <xdr:colOff>0</xdr:colOff>
      <xdr:row>89</xdr:row>
      <xdr:rowOff>190502</xdr:rowOff>
    </xdr:from>
    <xdr:to>
      <xdr:col>1</xdr:col>
      <xdr:colOff>825500</xdr:colOff>
      <xdr:row>120</xdr:row>
      <xdr:rowOff>86628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4542ED95-385D-966A-E943-79F2F3023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2733002"/>
          <a:ext cx="7736417" cy="5843958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122</xdr:row>
      <xdr:rowOff>9526</xdr:rowOff>
    </xdr:from>
    <xdr:to>
      <xdr:col>8</xdr:col>
      <xdr:colOff>695325</xdr:colOff>
      <xdr:row>135</xdr:row>
      <xdr:rowOff>57151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6D54DAD3-4B10-9E68-3BCF-A3557CA8F0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542926</xdr:colOff>
      <xdr:row>2</xdr:row>
      <xdr:rowOff>0</xdr:rowOff>
    </xdr:from>
    <xdr:to>
      <xdr:col>10</xdr:col>
      <xdr:colOff>609600</xdr:colOff>
      <xdr:row>19</xdr:row>
      <xdr:rowOff>114300</xdr:rowOff>
    </xdr:to>
    <xdr:sp macro="" textlink="">
      <xdr:nvSpPr>
        <xdr:cNvPr id="2" name="Ellipse 1">
          <a:extLst>
            <a:ext uri="{FF2B5EF4-FFF2-40B4-BE49-F238E27FC236}">
              <a16:creationId xmlns:a16="http://schemas.microsoft.com/office/drawing/2014/main" id="{3D368A53-A57E-CC79-9092-03AAAE405EE3}"/>
            </a:ext>
          </a:extLst>
        </xdr:cNvPr>
        <xdr:cNvSpPr/>
      </xdr:nvSpPr>
      <xdr:spPr>
        <a:xfrm>
          <a:off x="12677776" y="9010650"/>
          <a:ext cx="66674" cy="312420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3</xdr:col>
      <xdr:colOff>466725</xdr:colOff>
      <xdr:row>90</xdr:row>
      <xdr:rowOff>180975</xdr:rowOff>
    </xdr:from>
    <xdr:to>
      <xdr:col>8</xdr:col>
      <xdr:colOff>955617</xdr:colOff>
      <xdr:row>113</xdr:row>
      <xdr:rowOff>19639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27DFFC4-2450-9CE4-C0B1-F7B2134F9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72525" y="19631025"/>
          <a:ext cx="7163800" cy="4220164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81</xdr:row>
      <xdr:rowOff>117474</xdr:rowOff>
    </xdr:from>
    <xdr:to>
      <xdr:col>6</xdr:col>
      <xdr:colOff>340783</xdr:colOff>
      <xdr:row>81</xdr:row>
      <xdr:rowOff>222249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EDA638ED-9841-4D0B-B65C-CA8981A87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1691" t="81165" r="19514" b="11856"/>
        <a:stretch/>
      </xdr:blipFill>
      <xdr:spPr>
        <a:xfrm>
          <a:off x="14324541" y="16542807"/>
          <a:ext cx="1457325" cy="104775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85</xdr:row>
      <xdr:rowOff>28575</xdr:rowOff>
    </xdr:from>
    <xdr:to>
      <xdr:col>1</xdr:col>
      <xdr:colOff>1971675</xdr:colOff>
      <xdr:row>86</xdr:row>
      <xdr:rowOff>28576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51F35984-DA15-4E86-B354-E67F10040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1691" t="88144" r="19514" b="-2101"/>
        <a:stretch/>
      </xdr:blipFill>
      <xdr:spPr>
        <a:xfrm>
          <a:off x="7429500" y="17887950"/>
          <a:ext cx="1457325" cy="209550"/>
        </a:xfrm>
        <a:prstGeom prst="rect">
          <a:avLst/>
        </a:prstGeom>
      </xdr:spPr>
    </xdr:pic>
    <xdr:clientData/>
  </xdr:twoCellAnchor>
  <xdr:twoCellAnchor>
    <xdr:from>
      <xdr:col>1</xdr:col>
      <xdr:colOff>1781174</xdr:colOff>
      <xdr:row>81</xdr:row>
      <xdr:rowOff>95247</xdr:rowOff>
    </xdr:from>
    <xdr:to>
      <xdr:col>2</xdr:col>
      <xdr:colOff>539750</xdr:colOff>
      <xdr:row>81</xdr:row>
      <xdr:rowOff>232833</xdr:rowOff>
    </xdr:to>
    <xdr:sp macro="" textlink="">
      <xdr:nvSpPr>
        <xdr:cNvPr id="18" name="Pfeil: nach rechts 17">
          <a:extLst>
            <a:ext uri="{FF2B5EF4-FFF2-40B4-BE49-F238E27FC236}">
              <a16:creationId xmlns:a16="http://schemas.microsoft.com/office/drawing/2014/main" id="{00F2DA34-C0E7-4F3E-9DFA-E83DE9B61CA8}"/>
            </a:ext>
          </a:extLst>
        </xdr:cNvPr>
        <xdr:cNvSpPr/>
      </xdr:nvSpPr>
      <xdr:spPr>
        <a:xfrm rot="10800000">
          <a:off x="8692091" y="26172580"/>
          <a:ext cx="1097492" cy="137586"/>
        </a:xfrm>
        <a:prstGeom prst="rightArrow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2296583</xdr:colOff>
      <xdr:row>5</xdr:row>
      <xdr:rowOff>201083</xdr:rowOff>
    </xdr:from>
    <xdr:to>
      <xdr:col>3</xdr:col>
      <xdr:colOff>74084</xdr:colOff>
      <xdr:row>19</xdr:row>
      <xdr:rowOff>144992</xdr:rowOff>
    </xdr:to>
    <xdr:sp macro="" textlink="">
      <xdr:nvSpPr>
        <xdr:cNvPr id="19" name="Ellipse 18">
          <a:extLst>
            <a:ext uri="{FF2B5EF4-FFF2-40B4-BE49-F238E27FC236}">
              <a16:creationId xmlns:a16="http://schemas.microsoft.com/office/drawing/2014/main" id="{161E0498-27B3-DEB7-14AB-AE3BB9DF23BE}"/>
            </a:ext>
          </a:extLst>
        </xdr:cNvPr>
        <xdr:cNvSpPr/>
      </xdr:nvSpPr>
      <xdr:spPr>
        <a:xfrm>
          <a:off x="9207500" y="2127250"/>
          <a:ext cx="1661584" cy="3859742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Gerhard Spiegel" id="{CA2D6D6A-C04B-4C94-BAFF-22BE1CB48B68}" userId="7e1c55b6a1f53b37" providerId="Windows Live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6" dT="2024-08-17T07:48:15.97" personId="{CA2D6D6A-C04B-4C94-BAFF-22BE1CB48B68}" id="{0F3174E8-48EA-4943-8A26-7AF6FC19F792}">
    <text xml:space="preserve">10% mehr THG für Kleinbus
</text>
  </threadedComment>
  <threadedComment ref="G27" dT="2024-08-17T07:50:26.86" personId="{CA2D6D6A-C04B-4C94-BAFF-22BE1CB48B68}" id="{DC198D51-6D9C-4700-A29C-CB818DE44A1B}">
    <text>THG Emissionen E-Lkw bzgl Verbrenner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online-service2.nuernberg.de/asw/aswn.dll?aw=VKFB_J01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nuernberg.de/imperia/md/klimaschutz_nuernberg/dokumente/2022_endenergie_und_thg_bilanz_nuernberg.pdf" TargetMode="External"/><Relationship Id="rId1" Type="http://schemas.openxmlformats.org/officeDocument/2006/relationships/hyperlink" Target="https://de.statista.com/statistik/daten/studie/994676/umfrage/innerstaedtische-durchschnittsgeschwindigkeit-im-autoverkehr-in-deutschen-staedten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adv.aero/wp-content/uploads/2015/11/12.2023-ADV-Monatsstatistik.pdf" TargetMode="External"/><Relationship Id="rId10" Type="http://schemas.microsoft.com/office/2017/10/relationships/threadedComment" Target="../threadedComments/threadedComment1.xml"/><Relationship Id="rId4" Type="http://schemas.openxmlformats.org/officeDocument/2006/relationships/hyperlink" Target="https://theicct.org/wp-content/uploads/2023/02/Lifecycle-assessment-trucks-and-buses-Europe-German.pdf" TargetMode="External"/><Relationship Id="rId9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de.statista.com/statistik/daten/studie/994676/umfrage/innerstaedtische-durchschnittsgeschwindigkeit-im-autoverkehr-in-deutschen-staedten/" TargetMode="External"/><Relationship Id="rId2" Type="http://schemas.openxmlformats.org/officeDocument/2006/relationships/hyperlink" Target="https://online-service2.nuernberg.de/asw/aswn.dll?aw=VKFB_J01" TargetMode="External"/><Relationship Id="rId1" Type="http://schemas.openxmlformats.org/officeDocument/2006/relationships/hyperlink" Target="https://www.nuernberg.de/imperia/md/klimaschutz_nuernberg/dokumente/2022_endenergie_und_thg_bilanz_nuernberg.pdf" TargetMode="External"/><Relationship Id="rId5" Type="http://schemas.openxmlformats.org/officeDocument/2006/relationships/drawing" Target="../drawings/drawing3.xml"/><Relationship Id="rId4" Type="http://schemas.openxmlformats.org/officeDocument/2006/relationships/hyperlink" Target="https://theicct.org/wp-content/uploads/2023/02/Lifecycle-assessment-trucks-and-buses-Europe-German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FC579-8ECE-4018-8AE8-7CCC73B0544B}">
  <dimension ref="A1:K100"/>
  <sheetViews>
    <sheetView topLeftCell="A7" workbookViewId="0">
      <selection activeCell="F127" sqref="F127"/>
    </sheetView>
  </sheetViews>
  <sheetFormatPr baseColWidth="10" defaultRowHeight="15" x14ac:dyDescent="0.25"/>
  <cols>
    <col min="1" max="1" width="26.85546875" customWidth="1"/>
    <col min="2" max="2" width="21.28515625" customWidth="1"/>
    <col min="3" max="3" width="23.85546875" customWidth="1"/>
    <col min="4" max="4" width="20.140625" customWidth="1"/>
    <col min="5" max="5" width="27.5703125" customWidth="1"/>
    <col min="6" max="6" width="18.140625" customWidth="1"/>
    <col min="7" max="7" width="18.5703125" customWidth="1"/>
    <col min="8" max="8" width="13.28515625" customWidth="1"/>
    <col min="9" max="9" width="16.28515625" customWidth="1"/>
  </cols>
  <sheetData>
    <row r="1" spans="1:9" x14ac:dyDescent="0.25">
      <c r="A1" s="268" t="s">
        <v>260</v>
      </c>
    </row>
    <row r="2" spans="1:9" ht="30" customHeight="1" x14ac:dyDescent="0.25">
      <c r="A2" s="2" t="s">
        <v>222</v>
      </c>
      <c r="B2" s="288" t="s">
        <v>233</v>
      </c>
      <c r="C2" s="288" t="s">
        <v>234</v>
      </c>
      <c r="D2" s="288" t="s">
        <v>224</v>
      </c>
      <c r="E2" s="288" t="s">
        <v>251</v>
      </c>
      <c r="F2" s="288"/>
      <c r="G2" s="288" t="s">
        <v>225</v>
      </c>
    </row>
    <row r="3" spans="1:9" x14ac:dyDescent="0.25">
      <c r="A3" t="s">
        <v>223</v>
      </c>
      <c r="B3" s="296">
        <v>5</v>
      </c>
      <c r="C3" s="297">
        <v>0.5</v>
      </c>
      <c r="D3" s="7">
        <f>B3/24*C3</f>
        <v>0.10416666666666667</v>
      </c>
      <c r="E3" s="297">
        <v>0.5</v>
      </c>
      <c r="F3" s="289"/>
      <c r="G3" s="7">
        <f>E3*D3</f>
        <v>5.2083333333333336E-2</v>
      </c>
    </row>
    <row r="4" spans="1:9" x14ac:dyDescent="0.25">
      <c r="E4" t="s">
        <v>231</v>
      </c>
    </row>
    <row r="5" spans="1:9" x14ac:dyDescent="0.25">
      <c r="A5" s="268" t="s">
        <v>246</v>
      </c>
    </row>
    <row r="6" spans="1:9" ht="30" x14ac:dyDescent="0.25">
      <c r="A6" s="2" t="s">
        <v>237</v>
      </c>
      <c r="B6" s="288" t="s">
        <v>244</v>
      </c>
      <c r="C6" s="288" t="s">
        <v>245</v>
      </c>
      <c r="D6" s="2" t="s">
        <v>238</v>
      </c>
      <c r="E6" s="2" t="s">
        <v>239</v>
      </c>
      <c r="F6" s="288" t="s">
        <v>247</v>
      </c>
      <c r="G6" s="2" t="s">
        <v>240</v>
      </c>
      <c r="H6" s="2" t="s">
        <v>241</v>
      </c>
      <c r="I6" s="2" t="s">
        <v>242</v>
      </c>
    </row>
    <row r="7" spans="1:9" ht="27.75" customHeight="1" x14ac:dyDescent="0.25">
      <c r="B7" s="298">
        <v>48000</v>
      </c>
      <c r="C7" s="8">
        <f>B7*'THG 2023'!C2</f>
        <v>56299.481966572181</v>
      </c>
      <c r="D7" s="298">
        <v>230</v>
      </c>
      <c r="E7" s="299">
        <v>10.4</v>
      </c>
      <c r="F7" s="302">
        <f>E18</f>
        <v>419.43412766523863</v>
      </c>
      <c r="G7" s="8">
        <f>C7*D7*E7*F7/1000000</f>
        <v>56484.506463116464</v>
      </c>
      <c r="H7" s="294">
        <f>G7*G3</f>
        <v>2941.9013782873158</v>
      </c>
      <c r="I7" s="293">
        <f>H10/H7</f>
        <v>110.13285570729187</v>
      </c>
    </row>
    <row r="8" spans="1:9" ht="27.75" customHeight="1" x14ac:dyDescent="0.25">
      <c r="A8" s="268" t="s">
        <v>261</v>
      </c>
    </row>
    <row r="9" spans="1:9" ht="29.25" customHeight="1" x14ac:dyDescent="0.25">
      <c r="A9" s="2" t="s">
        <v>232</v>
      </c>
      <c r="B9" s="288" t="s">
        <v>219</v>
      </c>
      <c r="C9" s="288" t="s">
        <v>248</v>
      </c>
      <c r="D9" s="288"/>
      <c r="E9" s="288"/>
      <c r="F9" s="288"/>
      <c r="G9" s="288"/>
      <c r="H9" s="288" t="s">
        <v>220</v>
      </c>
    </row>
    <row r="10" spans="1:9" x14ac:dyDescent="0.25">
      <c r="A10" t="s">
        <v>218</v>
      </c>
      <c r="B10" s="298">
        <v>720000</v>
      </c>
      <c r="C10" s="300">
        <v>0.45</v>
      </c>
      <c r="D10" s="8"/>
      <c r="E10" s="8"/>
      <c r="F10" s="8"/>
      <c r="G10" s="8"/>
      <c r="H10" s="8">
        <f>B10*C10</f>
        <v>324000</v>
      </c>
    </row>
    <row r="11" spans="1:9" x14ac:dyDescent="0.25">
      <c r="B11" s="298"/>
      <c r="C11" s="300"/>
      <c r="D11" s="8"/>
      <c r="E11" s="8"/>
      <c r="F11" s="8"/>
      <c r="G11" s="8"/>
      <c r="H11" s="8"/>
    </row>
    <row r="12" spans="1:9" x14ac:dyDescent="0.25">
      <c r="A12" s="268" t="s">
        <v>250</v>
      </c>
      <c r="B12" s="8"/>
      <c r="C12" s="2"/>
      <c r="D12" s="8"/>
      <c r="E12" s="8"/>
      <c r="F12" s="8"/>
      <c r="G12" s="8"/>
      <c r="H12" s="8"/>
    </row>
    <row r="13" spans="1:9" ht="37.5" customHeight="1" x14ac:dyDescent="0.25">
      <c r="A13" s="288" t="s">
        <v>236</v>
      </c>
      <c r="B13" s="288" t="s">
        <v>230</v>
      </c>
      <c r="C13" s="288" t="s">
        <v>226</v>
      </c>
      <c r="D13" s="288" t="s">
        <v>243</v>
      </c>
      <c r="E13" s="288" t="s">
        <v>256</v>
      </c>
      <c r="F13" s="288" t="s">
        <v>235</v>
      </c>
      <c r="G13" s="288"/>
      <c r="H13" s="2"/>
    </row>
    <row r="14" spans="1:9" x14ac:dyDescent="0.25">
      <c r="A14" t="str">
        <f>'THG 2023'!A4</f>
        <v>Pkw Kordon fossil</v>
      </c>
      <c r="B14" s="8">
        <f>'THG 2023'!H4</f>
        <v>296.72525480660738</v>
      </c>
      <c r="C14" s="2"/>
      <c r="D14" s="266">
        <f>'THG 2023'!C4*'THG 2023'!D4*'THG 2023'!E4</f>
        <v>1350592875.7697194</v>
      </c>
      <c r="E14" s="266"/>
      <c r="F14" s="2"/>
      <c r="G14" s="2"/>
      <c r="H14" s="2"/>
    </row>
    <row r="15" spans="1:9" x14ac:dyDescent="0.25">
      <c r="A15" t="str">
        <f>'THG 2023'!A8</f>
        <v>Bus Nahverkehr Kordon fossil</v>
      </c>
      <c r="B15" s="8">
        <f>'THG 2023'!H8</f>
        <v>32.37374608777246</v>
      </c>
      <c r="C15" s="2"/>
      <c r="D15" s="266">
        <f>'THG 2023'!C8*'THG 2023'!D8*'THG 2023'!E8</f>
        <v>14051105.072817909</v>
      </c>
      <c r="E15" s="266"/>
      <c r="F15" s="2"/>
      <c r="G15" s="2"/>
      <c r="H15" s="2"/>
    </row>
    <row r="16" spans="1:9" x14ac:dyDescent="0.25">
      <c r="A16" t="str">
        <f>'THG 2023'!A23</f>
        <v>Lkw Kordon fossil</v>
      </c>
      <c r="B16" s="8">
        <f>'THG 2023'!H23</f>
        <v>195.3960462406412</v>
      </c>
      <c r="C16" s="2"/>
      <c r="D16" s="266">
        <f>'THG 2023'!C23*'THG 2023'!D23*'THG 2023'!E23</f>
        <v>54549426.644511782</v>
      </c>
      <c r="E16" s="266"/>
      <c r="F16" s="2"/>
      <c r="G16" s="2"/>
      <c r="H16" s="2"/>
    </row>
    <row r="17" spans="1:10" ht="30" x14ac:dyDescent="0.25">
      <c r="A17" t="str">
        <f>'THG 2023'!A26</f>
        <v>Lastzug (Lz) Kordon fossil</v>
      </c>
      <c r="B17" s="8">
        <f>'THG 2023'!H26</f>
        <v>92.223004996579036</v>
      </c>
      <c r="C17" s="2"/>
      <c r="D17" s="266">
        <f>'THG 2023'!C26*'THG 2023'!D26*'THG 2023'!E26</f>
        <v>51163941.745674916</v>
      </c>
      <c r="E17" s="266"/>
      <c r="F17" s="2"/>
      <c r="G17" s="2"/>
      <c r="H17" s="288" t="s">
        <v>249</v>
      </c>
      <c r="I17" s="288" t="s">
        <v>242</v>
      </c>
    </row>
    <row r="18" spans="1:10" x14ac:dyDescent="0.25">
      <c r="B18" s="290">
        <f>SUM(B14:B17)</f>
        <v>616.71805213160007</v>
      </c>
      <c r="C18" s="8">
        <f>B18*1000</f>
        <v>616718.0521316001</v>
      </c>
      <c r="D18" s="266">
        <f>SUM(D14:D17)</f>
        <v>1470357349.2327237</v>
      </c>
      <c r="E18" s="8">
        <f>C18*1000000/D18</f>
        <v>419.43412766523863</v>
      </c>
      <c r="F18" s="271">
        <f>C7/('THG 2023'!C2*'Zählung 2023'!B20)</f>
        <v>9.383246994428697E-2</v>
      </c>
      <c r="G18" s="205"/>
      <c r="H18" s="291">
        <f>C18*G3*F18</f>
        <v>3013.9676088925817</v>
      </c>
      <c r="I18" s="292">
        <f>H10/H18</f>
        <v>107.49949635956669</v>
      </c>
    </row>
    <row r="19" spans="1:10" x14ac:dyDescent="0.25">
      <c r="B19" s="8"/>
      <c r="C19" s="8"/>
      <c r="D19" s="266"/>
      <c r="E19" s="266"/>
      <c r="F19" s="271"/>
      <c r="G19" s="205"/>
      <c r="H19" s="291"/>
      <c r="I19" s="292"/>
    </row>
    <row r="20" spans="1:10" x14ac:dyDescent="0.25">
      <c r="A20" s="268" t="s">
        <v>259</v>
      </c>
      <c r="C20" t="s">
        <v>177</v>
      </c>
      <c r="D20" s="301"/>
      <c r="I20" s="288"/>
    </row>
    <row r="21" spans="1:10" x14ac:dyDescent="0.25">
      <c r="A21" t="s">
        <v>254</v>
      </c>
      <c r="B21" t="s">
        <v>252</v>
      </c>
      <c r="C21" t="s">
        <v>253</v>
      </c>
      <c r="D21" s="279" t="s">
        <v>257</v>
      </c>
      <c r="E21" s="301"/>
      <c r="J21" s="288"/>
    </row>
    <row r="22" spans="1:10" x14ac:dyDescent="0.25">
      <c r="A22" t="s">
        <v>255</v>
      </c>
      <c r="B22">
        <v>0.65</v>
      </c>
      <c r="C22" s="267">
        <v>155</v>
      </c>
      <c r="D22" s="267">
        <f>B22*C22</f>
        <v>100.75</v>
      </c>
      <c r="E22" s="301"/>
      <c r="J22" s="288"/>
    </row>
    <row r="23" spans="1:10" x14ac:dyDescent="0.25">
      <c r="A23" t="s">
        <v>258</v>
      </c>
      <c r="B23">
        <v>0.35</v>
      </c>
      <c r="C23" s="267">
        <v>1000</v>
      </c>
      <c r="D23" s="267">
        <f>B23*C23</f>
        <v>350</v>
      </c>
      <c r="J23" s="2"/>
    </row>
    <row r="24" spans="1:10" x14ac:dyDescent="0.25">
      <c r="C24" s="267"/>
      <c r="D24" s="303">
        <f>SUM(D22:D23)</f>
        <v>450.75</v>
      </c>
      <c r="J24" s="2"/>
    </row>
    <row r="25" spans="1:10" x14ac:dyDescent="0.25">
      <c r="I25" s="2"/>
    </row>
    <row r="26" spans="1:10" x14ac:dyDescent="0.25">
      <c r="I26" s="2"/>
    </row>
    <row r="27" spans="1:10" x14ac:dyDescent="0.25">
      <c r="I27" s="2"/>
    </row>
    <row r="100" spans="11:11" ht="26.25" x14ac:dyDescent="0.4">
      <c r="K100" s="295"/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5299-F58C-426E-AFA6-BABB459F602D}">
  <dimension ref="A1:R116"/>
  <sheetViews>
    <sheetView topLeftCell="A110" workbookViewId="0">
      <selection activeCell="C2" sqref="C2"/>
    </sheetView>
  </sheetViews>
  <sheetFormatPr baseColWidth="10" defaultRowHeight="15" x14ac:dyDescent="0.25"/>
  <cols>
    <col min="1" max="1" width="46.42578125" customWidth="1"/>
    <col min="2" max="2" width="17.85546875" customWidth="1"/>
    <col min="3" max="3" width="13.42578125" customWidth="1"/>
    <col min="4" max="4" width="10.28515625" customWidth="1"/>
    <col min="5" max="5" width="14.7109375" customWidth="1"/>
    <col min="6" max="6" width="17.5703125" customWidth="1"/>
    <col min="7" max="7" width="19.7109375" customWidth="1"/>
    <col min="8" max="8" width="17.7109375" customWidth="1"/>
    <col min="9" max="9" width="17.42578125" customWidth="1"/>
    <col min="10" max="10" width="20" customWidth="1"/>
    <col min="11" max="11" width="21.42578125" customWidth="1"/>
  </cols>
  <sheetData>
    <row r="1" spans="1:15" ht="66" customHeight="1" thickBot="1" x14ac:dyDescent="0.45">
      <c r="A1" s="169" t="s">
        <v>138</v>
      </c>
      <c r="B1" s="180" t="s">
        <v>100</v>
      </c>
      <c r="C1" s="180" t="s">
        <v>109</v>
      </c>
      <c r="D1" s="180" t="s">
        <v>110</v>
      </c>
      <c r="E1" s="180" t="s">
        <v>111</v>
      </c>
      <c r="F1" s="180" t="s">
        <v>137</v>
      </c>
      <c r="G1" s="257" t="s">
        <v>146</v>
      </c>
      <c r="H1" s="235" t="str">
        <f>_xlfn.CONCAT("THG heute =
F*T*A*L*Eh= ",
TEXT(H36,0),
" [kt]")</f>
        <v>THG heute =
F*T*A*L*Eh= 1021 [kt]</v>
      </c>
      <c r="I1" s="237" t="s">
        <v>122</v>
      </c>
      <c r="J1" s="238" t="s">
        <v>136</v>
      </c>
      <c r="K1" s="236" t="str">
        <f>_xlfn.CONCAT("THG morgen =
F*T*A*L*Em*Ä 
= ",
TEXT(K36,0)," [kt]")</f>
        <v>THG morgen =
F*T*A*L*Em*Ä 
= 490 [kt]</v>
      </c>
      <c r="L1" s="170"/>
      <c r="M1" s="170"/>
      <c r="N1" s="170"/>
      <c r="O1" s="168"/>
    </row>
    <row r="2" spans="1:15" ht="48" thickBot="1" x14ac:dyDescent="0.4">
      <c r="A2" s="260" t="s">
        <v>210</v>
      </c>
      <c r="B2" s="272" t="s">
        <v>132</v>
      </c>
      <c r="C2" s="273">
        <f>600000/'Zählung 2023'!B20</f>
        <v>1.1729058743035872</v>
      </c>
      <c r="D2" s="169"/>
      <c r="E2" s="169"/>
      <c r="F2" s="169"/>
      <c r="G2" s="169"/>
      <c r="H2" s="224"/>
      <c r="I2" s="247" t="s">
        <v>142</v>
      </c>
      <c r="J2" s="215">
        <v>-0.2</v>
      </c>
      <c r="K2" s="230"/>
      <c r="L2" s="169"/>
      <c r="M2" s="169"/>
      <c r="N2" s="169"/>
      <c r="O2" s="169"/>
    </row>
    <row r="3" spans="1:15" ht="24" x14ac:dyDescent="0.35">
      <c r="A3" s="172" t="s">
        <v>54</v>
      </c>
      <c r="B3" s="261">
        <v>8663</v>
      </c>
      <c r="C3" s="261">
        <f>B3*C$2</f>
        <v>10160.883589091976</v>
      </c>
      <c r="D3" s="174">
        <f>B$51</f>
        <v>230</v>
      </c>
      <c r="E3" s="181">
        <f>B$58</f>
        <v>10.8</v>
      </c>
      <c r="F3" s="182">
        <v>1</v>
      </c>
      <c r="G3" s="79">
        <v>56</v>
      </c>
      <c r="H3" s="225">
        <f>C3*D3*E3*F3*G3/1000000000</f>
        <v>1.4134195507770502</v>
      </c>
      <c r="I3" s="197">
        <f>100%</f>
        <v>1</v>
      </c>
      <c r="J3" s="79">
        <v>56</v>
      </c>
      <c r="K3" s="231">
        <f>H3*I3</f>
        <v>1.4134195507770502</v>
      </c>
      <c r="L3" s="169"/>
      <c r="M3" s="169"/>
      <c r="N3" s="169"/>
    </row>
    <row r="4" spans="1:15" ht="24" x14ac:dyDescent="0.35">
      <c r="A4" s="172" t="s">
        <v>227</v>
      </c>
      <c r="B4" s="261">
        <v>463564</v>
      </c>
      <c r="C4" s="261">
        <f>B4*C$2</f>
        <v>543716.93871566805</v>
      </c>
      <c r="D4" s="174">
        <f>B$51</f>
        <v>230</v>
      </c>
      <c r="E4" s="181">
        <f>B$58</f>
        <v>10.8</v>
      </c>
      <c r="F4" s="186">
        <f>B$65</f>
        <v>1.3</v>
      </c>
      <c r="G4" s="79">
        <v>169</v>
      </c>
      <c r="H4" s="225">
        <f t="shared" ref="H4:H9" si="0">C4*D4*E4*F4*G4/1000000000</f>
        <v>296.72525480660738</v>
      </c>
      <c r="I4" s="199">
        <f>100%-I5-I6-I7</f>
        <v>0.19999999999999996</v>
      </c>
      <c r="J4" s="79">
        <v>169</v>
      </c>
      <c r="K4" s="231">
        <f>H4*I4</f>
        <v>59.345050961321462</v>
      </c>
      <c r="L4" s="169"/>
      <c r="M4" s="169"/>
      <c r="N4" s="169"/>
    </row>
    <row r="5" spans="1:15" ht="24" x14ac:dyDescent="0.35">
      <c r="A5" s="175" t="s">
        <v>123</v>
      </c>
      <c r="B5" s="261" t="s">
        <v>4</v>
      </c>
      <c r="C5" s="261">
        <v>0</v>
      </c>
      <c r="D5" s="174">
        <f>B$51</f>
        <v>230</v>
      </c>
      <c r="E5" s="181">
        <f>B$58</f>
        <v>10.8</v>
      </c>
      <c r="F5" s="186">
        <f>B$65</f>
        <v>1.3</v>
      </c>
      <c r="G5" s="84">
        <v>79</v>
      </c>
      <c r="H5" s="225">
        <f>C5*D5*E5*F5*G5/1000000000</f>
        <v>0</v>
      </c>
      <c r="I5" s="198">
        <v>0.3</v>
      </c>
      <c r="J5" s="84">
        <f>G5*(100%+J$2)</f>
        <v>63.2</v>
      </c>
      <c r="K5" s="231">
        <f>C$4*I5*D5*E5*F5*J5/1000000000/(F5/F$4)</f>
        <v>33.289413201972053</v>
      </c>
      <c r="L5" s="250" t="s">
        <v>143</v>
      </c>
      <c r="M5" s="169"/>
      <c r="N5" s="169"/>
    </row>
    <row r="6" spans="1:15" ht="24" x14ac:dyDescent="0.35">
      <c r="A6" s="176" t="s">
        <v>124</v>
      </c>
      <c r="B6" s="261" t="s">
        <v>28</v>
      </c>
      <c r="C6" s="261">
        <v>0</v>
      </c>
      <c r="D6" s="174">
        <f>B$51</f>
        <v>230</v>
      </c>
      <c r="E6" s="181">
        <f>B59</f>
        <v>12.96</v>
      </c>
      <c r="F6" s="182">
        <f>D65</f>
        <v>2.6</v>
      </c>
      <c r="G6" s="84">
        <f>G5</f>
        <v>79</v>
      </c>
      <c r="H6" s="225">
        <f t="shared" si="0"/>
        <v>0</v>
      </c>
      <c r="I6" s="198">
        <v>0.3</v>
      </c>
      <c r="J6" s="84">
        <f>G6*(100%+J$2)*1.1</f>
        <v>69.52000000000001</v>
      </c>
      <c r="K6" s="231">
        <f>C$4*I6*D6*E6*F6*J6/1000000000/(F6/F$4)</f>
        <v>43.942025426603109</v>
      </c>
      <c r="L6" s="250" t="s">
        <v>143</v>
      </c>
      <c r="M6" s="169"/>
      <c r="N6" s="169"/>
    </row>
    <row r="7" spans="1:15" ht="24" x14ac:dyDescent="0.35">
      <c r="A7" s="189" t="s">
        <v>125</v>
      </c>
      <c r="B7" s="261">
        <v>0</v>
      </c>
      <c r="C7" s="261">
        <v>0</v>
      </c>
      <c r="D7" s="174">
        <f>B$51</f>
        <v>230</v>
      </c>
      <c r="E7" s="181">
        <f>B$58</f>
        <v>10.8</v>
      </c>
      <c r="F7" s="182">
        <f>C$65</f>
        <v>24</v>
      </c>
      <c r="G7" s="84">
        <v>72</v>
      </c>
      <c r="H7" s="225">
        <f t="shared" si="0"/>
        <v>0</v>
      </c>
      <c r="I7" s="198">
        <v>0.2</v>
      </c>
      <c r="J7" s="84">
        <f>G7*(100%+J$2)</f>
        <v>57.6</v>
      </c>
      <c r="K7" s="231">
        <f>C$4*I7*D7*E7*F7*J7/1000000000/(F7/F$4)</f>
        <v>20.226478907527323</v>
      </c>
      <c r="L7" s="250" t="s">
        <v>143</v>
      </c>
      <c r="M7" s="169"/>
      <c r="N7" s="169"/>
    </row>
    <row r="8" spans="1:15" ht="24" x14ac:dyDescent="0.35">
      <c r="A8" s="172" t="s">
        <v>105</v>
      </c>
      <c r="B8" s="261">
        <v>3039</v>
      </c>
      <c r="C8" s="261">
        <f>B8*C$2</f>
        <v>3564.4609520086015</v>
      </c>
      <c r="D8" s="174">
        <f>B$53</f>
        <v>365</v>
      </c>
      <c r="E8" s="181">
        <f t="shared" ref="E8:E9" si="1">B$58</f>
        <v>10.8</v>
      </c>
      <c r="F8" s="182">
        <f t="shared" ref="F8:F9" si="2">C$65</f>
        <v>24</v>
      </c>
      <c r="G8" s="79">
        <v>96</v>
      </c>
      <c r="H8" s="225">
        <f t="shared" si="0"/>
        <v>32.37374608777246</v>
      </c>
      <c r="I8" s="199">
        <f>100%-I9</f>
        <v>9.9999999999999978E-2</v>
      </c>
      <c r="J8" s="79">
        <f>G8</f>
        <v>96</v>
      </c>
      <c r="K8" s="231">
        <f>H8*I8</f>
        <v>3.2373746087772455</v>
      </c>
      <c r="L8" s="169"/>
      <c r="M8" s="169"/>
      <c r="N8" s="169"/>
    </row>
    <row r="9" spans="1:15" ht="24" x14ac:dyDescent="0.35">
      <c r="A9" s="175" t="s">
        <v>126</v>
      </c>
      <c r="B9" s="261" t="s">
        <v>4</v>
      </c>
      <c r="C9" s="261">
        <v>0</v>
      </c>
      <c r="D9" s="174">
        <f>B$53</f>
        <v>365</v>
      </c>
      <c r="E9" s="181">
        <f t="shared" si="1"/>
        <v>10.8</v>
      </c>
      <c r="F9" s="182">
        <f t="shared" si="2"/>
        <v>24</v>
      </c>
      <c r="G9" s="84">
        <v>72</v>
      </c>
      <c r="H9" s="225">
        <f t="shared" si="0"/>
        <v>0</v>
      </c>
      <c r="I9" s="198">
        <v>0.9</v>
      </c>
      <c r="J9" s="84">
        <f t="shared" ref="J9" si="3">G9*(100%+J$2)</f>
        <v>57.6</v>
      </c>
      <c r="K9" s="231">
        <f>C$8*I9*D9*E9*F9*J9/1000000000</f>
        <v>17.481822887397129</v>
      </c>
      <c r="L9" s="169"/>
      <c r="M9" s="169"/>
      <c r="N9" s="169"/>
    </row>
    <row r="10" spans="1:15" ht="24.75" thickBot="1" x14ac:dyDescent="0.4">
      <c r="A10" s="171"/>
      <c r="B10" s="185">
        <f>SUM(B3:B9)</f>
        <v>475266</v>
      </c>
      <c r="C10" s="185">
        <f>SUM(C3:C9)</f>
        <v>557442.2832567686</v>
      </c>
      <c r="D10" s="182"/>
      <c r="E10" s="181"/>
      <c r="F10" s="182"/>
      <c r="G10" s="47"/>
      <c r="H10" s="226">
        <f>SUM(H3:H9)</f>
        <v>330.51242044515692</v>
      </c>
      <c r="I10" s="191"/>
      <c r="J10" s="47"/>
      <c r="K10" s="232">
        <f>SUM(K3:K9)</f>
        <v>178.93558554437539</v>
      </c>
      <c r="L10" s="169"/>
      <c r="M10" s="169"/>
      <c r="N10" s="169"/>
    </row>
    <row r="11" spans="1:15" ht="48" thickBot="1" x14ac:dyDescent="0.4">
      <c r="A11" s="194" t="s">
        <v>211</v>
      </c>
      <c r="B11" s="248" t="s">
        <v>217</v>
      </c>
      <c r="C11" s="195">
        <v>0.52</v>
      </c>
      <c r="D11" s="182"/>
      <c r="E11" s="181"/>
      <c r="F11" s="182"/>
      <c r="G11" s="47"/>
      <c r="H11" s="227"/>
      <c r="I11" s="182"/>
      <c r="J11" s="47"/>
      <c r="K11" s="231"/>
      <c r="L11" s="169"/>
      <c r="M11" s="169"/>
      <c r="N11" s="169"/>
    </row>
    <row r="12" spans="1:15" ht="24" x14ac:dyDescent="0.35">
      <c r="A12" s="172" t="s">
        <v>54</v>
      </c>
      <c r="B12" s="287">
        <v>23988</v>
      </c>
      <c r="C12" s="188">
        <f>B12*C$11</f>
        <v>12473.76</v>
      </c>
      <c r="D12" s="174">
        <f>B$52</f>
        <v>335</v>
      </c>
      <c r="E12" s="181">
        <f>B$60</f>
        <v>9</v>
      </c>
      <c r="F12" s="182">
        <v>1</v>
      </c>
      <c r="G12" s="79">
        <v>56</v>
      </c>
      <c r="H12" s="225">
        <f t="shared" ref="H12:H18" si="4">C12*D12*E12*F12*G12/1000000000</f>
        <v>2.1060696383999997</v>
      </c>
      <c r="I12" s="199">
        <f>100%</f>
        <v>1</v>
      </c>
      <c r="J12" s="79">
        <f>G12</f>
        <v>56</v>
      </c>
      <c r="K12" s="231">
        <f>H12*I12</f>
        <v>2.1060696383999997</v>
      </c>
      <c r="L12" s="169"/>
      <c r="M12" s="169"/>
      <c r="N12" s="169"/>
    </row>
    <row r="13" spans="1:15" ht="24" x14ac:dyDescent="0.35">
      <c r="A13" s="172" t="s">
        <v>53</v>
      </c>
      <c r="B13" s="287">
        <v>249281</v>
      </c>
      <c r="C13" s="188">
        <f>B13*C$11</f>
        <v>129626.12000000001</v>
      </c>
      <c r="D13" s="174">
        <f>B$52</f>
        <v>335</v>
      </c>
      <c r="E13" s="181">
        <f>B$60</f>
        <v>9</v>
      </c>
      <c r="F13" s="186">
        <f>B$65</f>
        <v>1.3</v>
      </c>
      <c r="G13" s="79">
        <v>169</v>
      </c>
      <c r="H13" s="225">
        <f t="shared" si="4"/>
        <v>85.863758570460007</v>
      </c>
      <c r="I13" s="199">
        <f>100%-I14-I15-I16</f>
        <v>0.2</v>
      </c>
      <c r="J13" s="79">
        <f>G13</f>
        <v>169</v>
      </c>
      <c r="K13" s="231">
        <f>H13*I13</f>
        <v>17.172751714092001</v>
      </c>
      <c r="L13" s="169"/>
      <c r="M13" s="169"/>
      <c r="N13" s="169"/>
    </row>
    <row r="14" spans="1:15" ht="24" x14ac:dyDescent="0.35">
      <c r="A14" s="175" t="str">
        <f>A5</f>
        <v>I==&gt; E-Pkw (neu)</v>
      </c>
      <c r="B14" s="188" t="s">
        <v>4</v>
      </c>
      <c r="C14" s="188">
        <v>0</v>
      </c>
      <c r="D14" s="174">
        <f>B$52</f>
        <v>335</v>
      </c>
      <c r="E14" s="181">
        <f>B$60</f>
        <v>9</v>
      </c>
      <c r="F14" s="186">
        <f>B$65</f>
        <v>1.3</v>
      </c>
      <c r="G14" s="84">
        <v>79</v>
      </c>
      <c r="H14" s="225">
        <f t="shared" si="4"/>
        <v>0</v>
      </c>
      <c r="I14" s="198">
        <v>0.5</v>
      </c>
      <c r="J14" s="84">
        <f>G5*(100%+J$2)</f>
        <v>63.2</v>
      </c>
      <c r="K14" s="231">
        <f>C$13*I14*D14*E14*F14*J14/1000000000/(F14/F$13)</f>
        <v>16.054998643944003</v>
      </c>
      <c r="L14" s="250" t="s">
        <v>144</v>
      </c>
      <c r="M14" s="169"/>
      <c r="N14" s="169"/>
    </row>
    <row r="15" spans="1:15" ht="24" x14ac:dyDescent="0.35">
      <c r="A15" s="176" t="s">
        <v>129</v>
      </c>
      <c r="B15" s="188" t="s">
        <v>28</v>
      </c>
      <c r="C15" s="188">
        <v>0</v>
      </c>
      <c r="D15" s="174">
        <f>B$52</f>
        <v>335</v>
      </c>
      <c r="E15" s="181">
        <f>B$60</f>
        <v>9</v>
      </c>
      <c r="F15" s="182">
        <f>D$65</f>
        <v>2.6</v>
      </c>
      <c r="G15" s="84">
        <f>G14</f>
        <v>79</v>
      </c>
      <c r="H15" s="225">
        <f t="shared" si="4"/>
        <v>0</v>
      </c>
      <c r="I15" s="198">
        <v>0</v>
      </c>
      <c r="J15" s="84">
        <f t="shared" ref="J15:J16" si="5">G6*(100%+J$2)</f>
        <v>63.2</v>
      </c>
      <c r="K15" s="231">
        <f>C$13*I15*D15*E15*F15*J15/1000000000/(F15/F$13)</f>
        <v>0</v>
      </c>
      <c r="L15" s="250" t="s">
        <v>143</v>
      </c>
      <c r="M15" s="169"/>
      <c r="N15" s="169"/>
    </row>
    <row r="16" spans="1:15" ht="24" x14ac:dyDescent="0.35">
      <c r="A16" s="190" t="s">
        <v>130</v>
      </c>
      <c r="B16" s="188">
        <v>0</v>
      </c>
      <c r="C16" s="188">
        <f>B16*C$11</f>
        <v>0</v>
      </c>
      <c r="D16" s="174">
        <f>B$52</f>
        <v>335</v>
      </c>
      <c r="E16" s="181">
        <f>B$60</f>
        <v>9</v>
      </c>
      <c r="F16" s="182">
        <f>C$65</f>
        <v>24</v>
      </c>
      <c r="G16" s="84">
        <v>72</v>
      </c>
      <c r="H16" s="225">
        <f t="shared" si="4"/>
        <v>0</v>
      </c>
      <c r="I16" s="198">
        <v>0.3</v>
      </c>
      <c r="J16" s="84">
        <f t="shared" si="5"/>
        <v>57.6</v>
      </c>
      <c r="K16" s="231">
        <f>C$13*I16*D16*E16*F16*J16/1000000000/(F16/F$13)</f>
        <v>8.7794422964352012</v>
      </c>
      <c r="L16" s="250" t="s">
        <v>143</v>
      </c>
      <c r="M16" s="169"/>
      <c r="N16" s="169"/>
    </row>
    <row r="17" spans="1:14" ht="24" x14ac:dyDescent="0.35">
      <c r="A17" s="172" t="s">
        <v>106</v>
      </c>
      <c r="B17" s="188">
        <v>3039</v>
      </c>
      <c r="C17" s="188">
        <f>B17</f>
        <v>3039</v>
      </c>
      <c r="D17" s="174">
        <f>B$53</f>
        <v>365</v>
      </c>
      <c r="E17" s="181">
        <f>B$58</f>
        <v>10.8</v>
      </c>
      <c r="F17" s="182">
        <f t="shared" ref="F17:F18" si="6">C$65</f>
        <v>24</v>
      </c>
      <c r="G17" s="79">
        <v>96</v>
      </c>
      <c r="H17" s="225">
        <f t="shared" si="4"/>
        <v>27.601316352000001</v>
      </c>
      <c r="I17" s="199">
        <f>100%-I18</f>
        <v>9.9999999999999978E-2</v>
      </c>
      <c r="J17" s="79">
        <f>G8</f>
        <v>96</v>
      </c>
      <c r="K17" s="231">
        <f>H17*I17</f>
        <v>2.7601316351999996</v>
      </c>
      <c r="L17" s="169"/>
      <c r="M17" s="169"/>
      <c r="N17" s="169"/>
    </row>
    <row r="18" spans="1:14" ht="24" x14ac:dyDescent="0.35">
      <c r="A18" s="175" t="s">
        <v>131</v>
      </c>
      <c r="B18" s="188" t="s">
        <v>4</v>
      </c>
      <c r="C18" s="188">
        <v>0</v>
      </c>
      <c r="D18" s="174">
        <f>B$53</f>
        <v>365</v>
      </c>
      <c r="E18" s="181">
        <f>B$58</f>
        <v>10.8</v>
      </c>
      <c r="F18" s="182">
        <f t="shared" si="6"/>
        <v>24</v>
      </c>
      <c r="G18" s="84">
        <v>72</v>
      </c>
      <c r="H18" s="225">
        <f t="shared" si="4"/>
        <v>0</v>
      </c>
      <c r="I18" s="199">
        <v>0.9</v>
      </c>
      <c r="J18" s="84">
        <f>G9*(100%+J$2)</f>
        <v>57.6</v>
      </c>
      <c r="K18" s="231">
        <f>C$17*I18*D18*E18*F18*J18/1000000000</f>
        <v>14.904710830080003</v>
      </c>
      <c r="L18" s="169"/>
      <c r="M18" s="169"/>
      <c r="N18" s="169"/>
    </row>
    <row r="19" spans="1:14" ht="24.75" customHeight="1" x14ac:dyDescent="0.35">
      <c r="A19" s="171"/>
      <c r="B19" s="185">
        <f>SUM(B12:B18)</f>
        <v>276308</v>
      </c>
      <c r="C19" s="185">
        <f>SUM(C12:C18)</f>
        <v>145138.88</v>
      </c>
      <c r="D19" s="182"/>
      <c r="E19" s="181"/>
      <c r="F19" s="187"/>
      <c r="G19" s="187"/>
      <c r="H19" s="226">
        <f>SUM(H12:H18)</f>
        <v>115.57114456086001</v>
      </c>
      <c r="I19" s="191"/>
      <c r="J19" s="187"/>
      <c r="K19" s="232">
        <f>SUM(K12:K18)</f>
        <v>61.778104758151201</v>
      </c>
      <c r="L19" s="169"/>
      <c r="M19" s="169"/>
      <c r="N19" s="169"/>
    </row>
    <row r="20" spans="1:14" ht="24.75" customHeight="1" x14ac:dyDescent="0.35">
      <c r="A20" s="283" t="s">
        <v>215</v>
      </c>
      <c r="B20" s="199">
        <f>C13/(C19+C10)</f>
        <v>0.18449985109069347</v>
      </c>
      <c r="C20" s="174"/>
      <c r="D20" s="182"/>
      <c r="E20" s="181"/>
      <c r="F20" s="187"/>
      <c r="G20" s="187"/>
      <c r="H20" s="284" t="s">
        <v>212</v>
      </c>
      <c r="I20" s="199">
        <f>(100%-(D67/B67))*-1</f>
        <v>-0.75</v>
      </c>
      <c r="J20" s="187"/>
      <c r="K20" s="282">
        <f>I20*B20</f>
        <v>-0.13837488831802011</v>
      </c>
      <c r="L20" s="169"/>
      <c r="M20" s="169"/>
      <c r="N20" s="169"/>
    </row>
    <row r="21" spans="1:14" ht="24.75" customHeight="1" thickBot="1" x14ac:dyDescent="0.4">
      <c r="A21" s="283" t="s">
        <v>214</v>
      </c>
      <c r="B21" s="197">
        <f>C4/(C19+C10)</f>
        <v>0.77388487928612271</v>
      </c>
      <c r="C21" s="174"/>
      <c r="D21" s="182"/>
      <c r="E21" s="181"/>
      <c r="F21" s="187"/>
      <c r="G21" s="187"/>
      <c r="H21" s="284" t="s">
        <v>212</v>
      </c>
      <c r="I21" s="199">
        <f>(100%-(B65/D65))*-1</f>
        <v>-0.5</v>
      </c>
      <c r="J21" s="285" t="s">
        <v>213</v>
      </c>
      <c r="K21" s="282">
        <f>I21*B21</f>
        <v>-0.38694243964306135</v>
      </c>
      <c r="L21" s="169"/>
      <c r="M21" s="169"/>
      <c r="N21" s="169"/>
    </row>
    <row r="22" spans="1:14" ht="46.5" customHeight="1" thickBot="1" x14ac:dyDescent="0.4">
      <c r="A22" s="193" t="s">
        <v>112</v>
      </c>
      <c r="B22" s="214" t="s">
        <v>132</v>
      </c>
      <c r="C22" s="196">
        <f>C2</f>
        <v>1.1729058743035872</v>
      </c>
      <c r="D22" s="182"/>
      <c r="E22" s="181"/>
      <c r="F22" s="187" t="s">
        <v>108</v>
      </c>
      <c r="G22" s="187" t="s">
        <v>107</v>
      </c>
      <c r="H22" s="227"/>
      <c r="I22" s="182"/>
      <c r="J22" s="187" t="s">
        <v>107</v>
      </c>
      <c r="K22" s="231"/>
      <c r="L22" s="169"/>
      <c r="M22" s="169"/>
      <c r="N22" s="169"/>
    </row>
    <row r="23" spans="1:14" ht="24" x14ac:dyDescent="0.35">
      <c r="A23" s="177" t="s">
        <v>228</v>
      </c>
      <c r="B23" s="173">
        <v>18723</v>
      </c>
      <c r="C23" s="173">
        <f>B23*C$22</f>
        <v>21960.316684586061</v>
      </c>
      <c r="D23" s="174">
        <f>B$51</f>
        <v>230</v>
      </c>
      <c r="E23" s="181">
        <f>B$58</f>
        <v>10.8</v>
      </c>
      <c r="F23" s="182">
        <f>B$69</f>
        <v>9</v>
      </c>
      <c r="G23" s="200">
        <v>398</v>
      </c>
      <c r="H23" s="225">
        <f>C23*D23*E23*F23*G23/1000000000</f>
        <v>195.3960462406412</v>
      </c>
      <c r="I23" s="199">
        <f>100%-I24-I25</f>
        <v>0.3</v>
      </c>
      <c r="J23" s="200">
        <v>398</v>
      </c>
      <c r="K23" s="231">
        <f>H23*I23</f>
        <v>58.618813872192355</v>
      </c>
      <c r="L23" s="169"/>
      <c r="M23" s="169"/>
      <c r="N23" s="169"/>
    </row>
    <row r="24" spans="1:14" ht="24" x14ac:dyDescent="0.35">
      <c r="A24" s="179" t="s">
        <v>134</v>
      </c>
      <c r="B24" s="178" t="s">
        <v>4</v>
      </c>
      <c r="C24" s="173">
        <v>0</v>
      </c>
      <c r="D24" s="174">
        <f t="shared" ref="D24:D28" si="7">B$51</f>
        <v>230</v>
      </c>
      <c r="E24" s="181">
        <f t="shared" ref="E24:E27" si="8">B$58</f>
        <v>10.8</v>
      </c>
      <c r="F24" s="182">
        <f t="shared" ref="F24:F25" si="9">B$69</f>
        <v>9</v>
      </c>
      <c r="G24" s="201">
        <v>107</v>
      </c>
      <c r="H24" s="225">
        <f>C24*D24*E24*F24*G24/1000000000</f>
        <v>0</v>
      </c>
      <c r="I24" s="198">
        <v>0.5</v>
      </c>
      <c r="J24" s="201">
        <f>G24*(100%+J$2)</f>
        <v>85.600000000000009</v>
      </c>
      <c r="K24" s="231">
        <f>C$23*I24*D24*E24*F24*J24/1000000000</f>
        <v>21.01243914346594</v>
      </c>
      <c r="L24" s="169"/>
      <c r="M24" s="169"/>
      <c r="N24" s="169"/>
    </row>
    <row r="25" spans="1:14" ht="24" x14ac:dyDescent="0.35">
      <c r="A25" s="190" t="s">
        <v>200</v>
      </c>
      <c r="B25" s="178" t="s">
        <v>4</v>
      </c>
      <c r="C25" s="173">
        <v>0</v>
      </c>
      <c r="D25" s="174">
        <f t="shared" si="7"/>
        <v>230</v>
      </c>
      <c r="E25" s="181">
        <f t="shared" si="8"/>
        <v>10.8</v>
      </c>
      <c r="F25" s="182">
        <f t="shared" si="9"/>
        <v>9</v>
      </c>
      <c r="G25" s="204">
        <v>28</v>
      </c>
      <c r="H25" s="225">
        <f>C25*D25*E25*F25*G25/1000000000</f>
        <v>0</v>
      </c>
      <c r="I25" s="198">
        <v>0.2</v>
      </c>
      <c r="J25" s="204">
        <f>G25*(100%+J$2)</f>
        <v>22.400000000000002</v>
      </c>
      <c r="K25" s="231">
        <f>C$23*I25*D25*E25*F25*J25/1000000000</f>
        <v>2.199432882306716</v>
      </c>
      <c r="L25" s="249" t="s">
        <v>145</v>
      </c>
      <c r="M25" s="169"/>
      <c r="N25" s="169"/>
    </row>
    <row r="26" spans="1:14" ht="24" x14ac:dyDescent="0.35">
      <c r="A26" s="177" t="s">
        <v>229</v>
      </c>
      <c r="B26" s="173">
        <v>17561</v>
      </c>
      <c r="C26" s="173">
        <f t="shared" ref="C26:C28" si="10">B26*C$22</f>
        <v>20597.400058645293</v>
      </c>
      <c r="D26" s="174">
        <f t="shared" si="7"/>
        <v>230</v>
      </c>
      <c r="E26" s="181">
        <f t="shared" si="8"/>
        <v>10.8</v>
      </c>
      <c r="F26" s="182">
        <f>C$69</f>
        <v>17.5</v>
      </c>
      <c r="G26" s="200">
        <v>103</v>
      </c>
      <c r="H26" s="225">
        <f>C26*D26*E26*F26*G26/1000000000</f>
        <v>92.223004996579036</v>
      </c>
      <c r="I26" s="199">
        <f>100%-I27-I28</f>
        <v>0.4</v>
      </c>
      <c r="J26" s="200">
        <f t="shared" ref="J26" si="11">G26</f>
        <v>103</v>
      </c>
      <c r="K26" s="231">
        <f>H26*I26</f>
        <v>36.889201998631613</v>
      </c>
      <c r="L26" s="169"/>
      <c r="M26" s="169"/>
      <c r="N26" s="169"/>
    </row>
    <row r="27" spans="1:14" ht="24" x14ac:dyDescent="0.35">
      <c r="A27" s="179" t="s">
        <v>141</v>
      </c>
      <c r="B27" s="173" t="s">
        <v>4</v>
      </c>
      <c r="C27" s="173">
        <v>0</v>
      </c>
      <c r="D27" s="174">
        <f t="shared" si="7"/>
        <v>230</v>
      </c>
      <c r="E27" s="181">
        <f t="shared" si="8"/>
        <v>10.8</v>
      </c>
      <c r="F27" s="182">
        <f t="shared" ref="F27:F28" si="12">C$69</f>
        <v>17.5</v>
      </c>
      <c r="G27" s="201">
        <v>28</v>
      </c>
      <c r="H27" s="225">
        <f>C27*D27*E27*F27*G27/1000000000</f>
        <v>0</v>
      </c>
      <c r="I27" s="198">
        <v>0.5</v>
      </c>
      <c r="J27" s="201">
        <f>G27*(100%+J$2)</f>
        <v>22.400000000000002</v>
      </c>
      <c r="K27" s="231">
        <f>C$26*I27*D27*E27*F27*J27/1000000000</f>
        <v>10.028132582152285</v>
      </c>
      <c r="L27" s="169"/>
      <c r="M27" s="169"/>
      <c r="N27" s="169"/>
    </row>
    <row r="28" spans="1:14" ht="24" x14ac:dyDescent="0.35">
      <c r="A28" s="190" t="s">
        <v>201</v>
      </c>
      <c r="B28" s="173">
        <v>0</v>
      </c>
      <c r="C28" s="173">
        <f t="shared" si="10"/>
        <v>0</v>
      </c>
      <c r="D28" s="174">
        <f t="shared" si="7"/>
        <v>230</v>
      </c>
      <c r="E28" s="181">
        <f>B$58</f>
        <v>10.8</v>
      </c>
      <c r="F28" s="182">
        <f t="shared" si="12"/>
        <v>17.5</v>
      </c>
      <c r="G28" s="204">
        <v>28</v>
      </c>
      <c r="H28" s="225">
        <f t="shared" ref="H28" si="13">C28*D28*E28*F28*G28/1000000000</f>
        <v>0</v>
      </c>
      <c r="I28" s="198">
        <v>0.1</v>
      </c>
      <c r="J28" s="204">
        <f>G28*(100%+J$2)</f>
        <v>22.400000000000002</v>
      </c>
      <c r="K28" s="231">
        <f>C$26*I28*D28*E28*F28*J28/1000000000</f>
        <v>2.005626516430457</v>
      </c>
      <c r="L28" s="249" t="s">
        <v>145</v>
      </c>
      <c r="M28" s="169"/>
      <c r="N28" s="169"/>
    </row>
    <row r="29" spans="1:14" ht="26.25" customHeight="1" thickBot="1" x14ac:dyDescent="0.4">
      <c r="A29" s="192"/>
      <c r="B29" s="185">
        <f>SUM(B23:B27)</f>
        <v>36284</v>
      </c>
      <c r="C29" s="185">
        <f>SUM(C23:C27)</f>
        <v>42557.716743231358</v>
      </c>
      <c r="D29" s="169"/>
      <c r="E29" s="169"/>
      <c r="F29" s="169"/>
      <c r="G29" s="169"/>
      <c r="H29" s="226">
        <f>SUM(H23:H27)</f>
        <v>287.61905123722022</v>
      </c>
      <c r="I29" s="191"/>
      <c r="J29" s="169"/>
      <c r="K29" s="232">
        <f>SUM(K23:K27)</f>
        <v>128.74802047874891</v>
      </c>
      <c r="L29" s="169"/>
      <c r="M29" s="169"/>
      <c r="N29" s="169"/>
    </row>
    <row r="30" spans="1:14" ht="46.5" customHeight="1" thickBot="1" x14ac:dyDescent="0.4">
      <c r="A30" s="262" t="s">
        <v>113</v>
      </c>
      <c r="B30" s="263" t="s">
        <v>217</v>
      </c>
      <c r="C30" s="246">
        <v>1</v>
      </c>
      <c r="D30" s="249"/>
      <c r="E30" s="202"/>
      <c r="F30" s="169"/>
      <c r="G30" s="169"/>
      <c r="H30" s="227"/>
      <c r="I30" s="182"/>
      <c r="J30" s="169"/>
      <c r="K30" s="231"/>
      <c r="L30" s="169"/>
      <c r="M30" s="169"/>
      <c r="N30" s="169"/>
    </row>
    <row r="31" spans="1:14" ht="24" x14ac:dyDescent="0.35">
      <c r="A31" s="177" t="s">
        <v>51</v>
      </c>
      <c r="B31" s="287">
        <v>21902</v>
      </c>
      <c r="C31" s="265">
        <f>B31*C30</f>
        <v>21902</v>
      </c>
      <c r="D31" s="174">
        <f>B$51</f>
        <v>230</v>
      </c>
      <c r="E31" s="181">
        <f>B$58</f>
        <v>10.8</v>
      </c>
      <c r="F31" s="182">
        <f>D$69</f>
        <v>13.25</v>
      </c>
      <c r="G31" s="79">
        <v>398</v>
      </c>
      <c r="H31" s="225">
        <f>C31*D31*E31*F31*G31/1000000000</f>
        <v>286.90248934800002</v>
      </c>
      <c r="I31" s="199">
        <f>100%-I32-I33</f>
        <v>0.3</v>
      </c>
      <c r="J31" s="79">
        <f>G31</f>
        <v>398</v>
      </c>
      <c r="K31" s="231">
        <f>H31*I31</f>
        <v>86.070746804400002</v>
      </c>
      <c r="L31" s="169"/>
      <c r="M31" s="169"/>
      <c r="N31" s="169"/>
    </row>
    <row r="32" spans="1:14" ht="24" x14ac:dyDescent="0.35">
      <c r="A32" s="179" t="s">
        <v>133</v>
      </c>
      <c r="B32" s="264" t="s">
        <v>4</v>
      </c>
      <c r="C32" s="265">
        <v>0</v>
      </c>
      <c r="D32" s="174">
        <f t="shared" ref="D32:D33" si="14">B$51</f>
        <v>230</v>
      </c>
      <c r="E32" s="181">
        <f t="shared" ref="E32:E33" si="15">B$58</f>
        <v>10.8</v>
      </c>
      <c r="F32" s="182">
        <f t="shared" ref="F32:F33" si="16">D$69</f>
        <v>13.25</v>
      </c>
      <c r="G32" s="201">
        <f>'Zählung 2023'!F$17</f>
        <v>107.46000000000001</v>
      </c>
      <c r="H32" s="225">
        <f>C32*D32*E32*F32*G32/1000000000</f>
        <v>0</v>
      </c>
      <c r="I32" s="198">
        <v>0.5</v>
      </c>
      <c r="J32" s="201">
        <f>G32*(100%+J$2)</f>
        <v>85.968000000000018</v>
      </c>
      <c r="K32" s="231">
        <f>C$31*I32*D32*E32*F32*J32/1000000000</f>
        <v>30.985468849584006</v>
      </c>
      <c r="L32" s="169"/>
      <c r="M32" s="169"/>
      <c r="N32" s="169"/>
    </row>
    <row r="33" spans="1:18" ht="24" x14ac:dyDescent="0.35">
      <c r="A33" s="190" t="s">
        <v>201</v>
      </c>
      <c r="B33" s="265">
        <v>0</v>
      </c>
      <c r="C33" s="265">
        <v>0</v>
      </c>
      <c r="D33" s="174">
        <f t="shared" si="14"/>
        <v>230</v>
      </c>
      <c r="E33" s="181">
        <f t="shared" si="15"/>
        <v>10.8</v>
      </c>
      <c r="F33" s="182">
        <f t="shared" si="16"/>
        <v>13.25</v>
      </c>
      <c r="G33" s="204">
        <f>'Zählung 2023'!F$19</f>
        <v>27.810000000000002</v>
      </c>
      <c r="H33" s="225">
        <f t="shared" ref="H33" si="17">C33*D33*E33*F33*G33/1000000000</f>
        <v>0</v>
      </c>
      <c r="I33" s="198">
        <v>0.2</v>
      </c>
      <c r="J33" s="204">
        <f>G33*(100%+J$2)</f>
        <v>22.248000000000005</v>
      </c>
      <c r="K33" s="231">
        <f>C$31*I33*D33*E33*F33*J33/1000000000</f>
        <v>3.2075409964896013</v>
      </c>
      <c r="L33" s="249" t="s">
        <v>145</v>
      </c>
      <c r="M33" s="169"/>
      <c r="N33" s="169"/>
    </row>
    <row r="34" spans="1:18" ht="24" x14ac:dyDescent="0.35">
      <c r="A34" s="177" t="str">
        <f>A26</f>
        <v>Lastzug (Lz) Kordon fossil</v>
      </c>
      <c r="B34" s="287">
        <v>3925</v>
      </c>
      <c r="C34" s="174"/>
      <c r="D34" s="174"/>
      <c r="E34" s="181"/>
      <c r="F34" s="182"/>
      <c r="G34" s="286"/>
      <c r="H34" s="225"/>
      <c r="I34" s="199"/>
      <c r="J34" s="286"/>
      <c r="K34" s="231"/>
      <c r="L34" s="249"/>
      <c r="M34" s="169"/>
      <c r="N34" s="169"/>
    </row>
    <row r="35" spans="1:18" ht="26.25" customHeight="1" x14ac:dyDescent="0.35">
      <c r="A35" s="169"/>
      <c r="B35" s="185">
        <f>SUM(B31:B33)</f>
        <v>21902</v>
      </c>
      <c r="C35" s="185">
        <f>SUM(C31:C33)</f>
        <v>21902</v>
      </c>
      <c r="D35" s="169"/>
      <c r="E35" s="169"/>
      <c r="F35" s="169"/>
      <c r="G35" s="169"/>
      <c r="H35" s="226">
        <f>SUM(H31:H33)</f>
        <v>286.90248934800002</v>
      </c>
      <c r="I35" s="191"/>
      <c r="J35" s="169"/>
      <c r="K35" s="232">
        <f>SUM(K31:K33)</f>
        <v>120.26375665047361</v>
      </c>
      <c r="L35" s="169"/>
      <c r="M35" s="169"/>
      <c r="N35" s="169"/>
    </row>
    <row r="36" spans="1:18" ht="26.25" x14ac:dyDescent="0.25">
      <c r="A36" s="287" t="s">
        <v>216</v>
      </c>
      <c r="H36" s="228">
        <f>H10+H19+H29+H35</f>
        <v>1020.6051055912371</v>
      </c>
      <c r="I36" s="203"/>
      <c r="K36" s="233">
        <f>K10+K19+K29+K35</f>
        <v>489.72546743174911</v>
      </c>
      <c r="L36" s="205">
        <f>K36/H36</f>
        <v>0.47983834761246941</v>
      </c>
    </row>
    <row r="37" spans="1:18" ht="24" x14ac:dyDescent="0.4">
      <c r="A37" s="220" t="s">
        <v>19</v>
      </c>
      <c r="B37" s="137">
        <v>2936</v>
      </c>
      <c r="C37" s="155"/>
      <c r="D37" s="155"/>
      <c r="E37" s="155"/>
      <c r="F37" s="155"/>
      <c r="G37" s="61"/>
      <c r="H37" s="229">
        <f>H36/B37</f>
        <v>0.34761754277630691</v>
      </c>
      <c r="I37" s="221"/>
      <c r="J37" s="221"/>
      <c r="K37" s="234">
        <f>K36/B37</f>
        <v>0.16680022732689001</v>
      </c>
      <c r="L37" s="66"/>
    </row>
    <row r="38" spans="1:18" ht="24" x14ac:dyDescent="0.4">
      <c r="A38" s="245"/>
      <c r="B38" s="155"/>
      <c r="C38" s="155"/>
      <c r="D38" s="155"/>
      <c r="E38" s="155"/>
      <c r="F38" s="155"/>
      <c r="G38" s="61"/>
      <c r="H38" s="221"/>
      <c r="I38" s="221"/>
      <c r="J38" s="221"/>
      <c r="K38" s="221"/>
      <c r="L38" s="66"/>
      <c r="Q38" t="s">
        <v>185</v>
      </c>
      <c r="R38" t="s">
        <v>186</v>
      </c>
    </row>
    <row r="39" spans="1:18" ht="24" x14ac:dyDescent="0.4">
      <c r="A39" s="101" t="s">
        <v>84</v>
      </c>
      <c r="B39" s="102" t="str">
        <f>B44</f>
        <v>Krad;PkW+Kombi;Busse</v>
      </c>
      <c r="C39" s="102" t="str">
        <f>C44</f>
        <v>Lkw; Lz</v>
      </c>
      <c r="D39" s="153" t="s">
        <v>11</v>
      </c>
      <c r="K39" t="s">
        <v>48</v>
      </c>
      <c r="L39" t="s">
        <v>180</v>
      </c>
      <c r="P39" t="s">
        <v>187</v>
      </c>
      <c r="Q39" s="274"/>
      <c r="R39" s="275"/>
    </row>
    <row r="40" spans="1:18" ht="24" x14ac:dyDescent="0.4">
      <c r="A40" s="103" t="s">
        <v>8</v>
      </c>
      <c r="B40" s="251">
        <v>8663</v>
      </c>
      <c r="C40" s="34"/>
      <c r="D40" s="304">
        <f>B40+B41+B42+C41+C42</f>
        <v>511550</v>
      </c>
      <c r="E40" s="4"/>
      <c r="J40" t="s">
        <v>181</v>
      </c>
      <c r="K40" s="266">
        <f>H10</f>
        <v>330.51242044515692</v>
      </c>
      <c r="L40" s="266">
        <f>K10</f>
        <v>178.93558554437539</v>
      </c>
      <c r="P40" t="s">
        <v>188</v>
      </c>
      <c r="Q40" s="274"/>
      <c r="R40" s="274"/>
    </row>
    <row r="41" spans="1:18" ht="24" customHeight="1" x14ac:dyDescent="0.4">
      <c r="A41" s="103" t="s">
        <v>9</v>
      </c>
      <c r="B41" s="251">
        <v>463564</v>
      </c>
      <c r="C41" s="251">
        <v>18723</v>
      </c>
      <c r="D41" s="304"/>
      <c r="E41" s="4"/>
      <c r="J41" t="s">
        <v>182</v>
      </c>
      <c r="K41" s="266">
        <f>H19</f>
        <v>115.57114456086001</v>
      </c>
      <c r="L41" s="266">
        <f>K19</f>
        <v>61.778104758151201</v>
      </c>
      <c r="P41" t="s">
        <v>189</v>
      </c>
      <c r="Q41" s="274"/>
      <c r="R41" s="277">
        <v>7.5</v>
      </c>
    </row>
    <row r="42" spans="1:18" ht="24" x14ac:dyDescent="0.4">
      <c r="A42" s="103" t="s">
        <v>7</v>
      </c>
      <c r="B42" s="251">
        <v>3039</v>
      </c>
      <c r="C42" s="251">
        <v>17561</v>
      </c>
      <c r="D42" s="304"/>
      <c r="E42" s="4"/>
      <c r="J42" t="s">
        <v>183</v>
      </c>
      <c r="K42" s="266">
        <f>H29</f>
        <v>287.61905123722022</v>
      </c>
      <c r="L42" s="266">
        <f>K29</f>
        <v>128.74802047874891</v>
      </c>
      <c r="P42" t="s">
        <v>156</v>
      </c>
      <c r="Q42" s="274"/>
      <c r="R42" s="276"/>
    </row>
    <row r="43" spans="1:18" ht="24" x14ac:dyDescent="0.4">
      <c r="A43" s="103"/>
      <c r="B43" s="34"/>
      <c r="C43" s="34"/>
      <c r="D43" s="34"/>
      <c r="E43" s="4"/>
      <c r="J43" t="s">
        <v>184</v>
      </c>
      <c r="K43" s="266">
        <f>H35</f>
        <v>286.90248934800002</v>
      </c>
      <c r="L43" s="266">
        <f>K35</f>
        <v>120.26375665047361</v>
      </c>
      <c r="P43" t="s">
        <v>102</v>
      </c>
      <c r="Q43" s="274"/>
      <c r="R43" s="276"/>
    </row>
    <row r="44" spans="1:18" ht="24" x14ac:dyDescent="0.4">
      <c r="A44" s="108" t="s">
        <v>85</v>
      </c>
      <c r="B44" s="252" t="s">
        <v>10</v>
      </c>
      <c r="C44" s="253" t="s">
        <v>25</v>
      </c>
      <c r="D44" s="254" t="str">
        <f>D39</f>
        <v>Summe / Kommentar</v>
      </c>
      <c r="E44" s="66"/>
      <c r="J44" t="s">
        <v>202</v>
      </c>
      <c r="K44" s="266">
        <f>SUM(K40:K43)</f>
        <v>1020.6051055912371</v>
      </c>
      <c r="L44" s="266">
        <f>SUM(L40:L43)</f>
        <v>489.72546743174911</v>
      </c>
      <c r="P44" t="s">
        <v>190</v>
      </c>
      <c r="Q44" s="274"/>
      <c r="R44" s="274"/>
    </row>
    <row r="45" spans="1:18" ht="24" x14ac:dyDescent="0.4">
      <c r="A45" s="44" t="s">
        <v>86</v>
      </c>
      <c r="B45" s="34"/>
      <c r="C45" s="34"/>
      <c r="D45" s="34"/>
      <c r="P45" t="s">
        <v>191</v>
      </c>
      <c r="Q45" s="274"/>
      <c r="R45" s="274"/>
    </row>
    <row r="46" spans="1:18" ht="24" x14ac:dyDescent="0.4">
      <c r="A46" s="208" t="str">
        <f>A40</f>
        <v>Leicht: Krad</v>
      </c>
      <c r="B46" s="255">
        <v>23988</v>
      </c>
      <c r="C46" s="253"/>
      <c r="D46" s="305">
        <f>B47+C47+B46</f>
        <v>294271</v>
      </c>
      <c r="E46" s="66"/>
      <c r="P46" t="s">
        <v>192</v>
      </c>
      <c r="Q46" s="274"/>
      <c r="R46" s="274"/>
    </row>
    <row r="47" spans="1:18" ht="24" x14ac:dyDescent="0.4">
      <c r="A47" s="208" t="s">
        <v>26</v>
      </c>
      <c r="B47" s="256">
        <v>249281</v>
      </c>
      <c r="C47" s="256">
        <v>21002</v>
      </c>
      <c r="D47" s="305"/>
      <c r="E47" s="66"/>
    </row>
    <row r="48" spans="1:18" ht="24" x14ac:dyDescent="0.4">
      <c r="A48" s="154"/>
      <c r="B48" s="155"/>
      <c r="C48" s="61"/>
      <c r="D48" s="23"/>
      <c r="E48" s="61"/>
      <c r="F48" s="61"/>
      <c r="G48" s="23"/>
      <c r="H48" s="66"/>
    </row>
    <row r="49" spans="1:12" ht="24" x14ac:dyDescent="0.4">
      <c r="A49" s="42" t="s">
        <v>91</v>
      </c>
      <c r="B49" s="5"/>
      <c r="C49" s="2"/>
    </row>
    <row r="50" spans="1:12" ht="18" customHeight="1" x14ac:dyDescent="0.3">
      <c r="A50" s="46" t="s">
        <v>92</v>
      </c>
      <c r="B50" s="184"/>
      <c r="C50" s="48"/>
      <c r="D50" s="32"/>
      <c r="E50" s="33"/>
      <c r="F50" s="32"/>
    </row>
    <row r="51" spans="1:12" ht="24" x14ac:dyDescent="0.4">
      <c r="A51" s="207" t="s">
        <v>1</v>
      </c>
      <c r="B51" s="50">
        <v>230</v>
      </c>
      <c r="C51" s="21" t="s">
        <v>57</v>
      </c>
      <c r="D51" s="32"/>
      <c r="E51" s="32"/>
      <c r="F51" s="32"/>
    </row>
    <row r="52" spans="1:12" ht="24" x14ac:dyDescent="0.4">
      <c r="A52" s="207" t="s">
        <v>6</v>
      </c>
      <c r="B52" s="50">
        <v>335</v>
      </c>
      <c r="C52" s="21" t="s">
        <v>58</v>
      </c>
      <c r="D52" s="32"/>
      <c r="E52" s="32"/>
      <c r="F52" s="32"/>
    </row>
    <row r="53" spans="1:12" ht="24.75" customHeight="1" x14ac:dyDescent="0.3">
      <c r="A53" s="207" t="s">
        <v>101</v>
      </c>
      <c r="B53" s="184">
        <v>365</v>
      </c>
      <c r="C53" s="21" t="s">
        <v>102</v>
      </c>
      <c r="D53" s="34"/>
      <c r="E53" s="32"/>
      <c r="F53" s="32"/>
    </row>
    <row r="54" spans="1:12" ht="24.75" customHeight="1" thickBot="1" x14ac:dyDescent="0.35">
      <c r="A54" s="208"/>
      <c r="B54" s="47"/>
      <c r="C54" s="21"/>
      <c r="D54" s="34"/>
      <c r="E54" s="32"/>
      <c r="F54" s="32"/>
    </row>
    <row r="55" spans="1:12" ht="18" customHeight="1" x14ac:dyDescent="0.3">
      <c r="A55" s="35"/>
      <c r="B55" s="35"/>
      <c r="C55" s="36"/>
      <c r="D55" s="223" t="s">
        <v>31</v>
      </c>
      <c r="E55" s="76" t="s">
        <v>32</v>
      </c>
      <c r="F55" s="31"/>
      <c r="G55" s="32"/>
      <c r="L55" s="2"/>
    </row>
    <row r="56" spans="1:12" ht="24" customHeight="1" thickBot="1" x14ac:dyDescent="0.45">
      <c r="A56" s="35"/>
      <c r="B56" s="35"/>
      <c r="C56" s="222" t="s">
        <v>33</v>
      </c>
      <c r="D56" s="152">
        <v>0.9</v>
      </c>
      <c r="E56" s="71">
        <v>10</v>
      </c>
      <c r="F56" s="32"/>
      <c r="G56" s="32"/>
      <c r="K56" s="2"/>
    </row>
    <row r="57" spans="1:12" ht="24.75" thickTop="1" x14ac:dyDescent="0.4">
      <c r="A57" s="239" t="s">
        <v>139</v>
      </c>
      <c r="B57" s="240"/>
      <c r="C57" s="211" t="s">
        <v>50</v>
      </c>
      <c r="D57" s="152">
        <v>0.1</v>
      </c>
      <c r="E57" s="150">
        <f>(G57+G58)/2</f>
        <v>18</v>
      </c>
      <c r="F57" s="149" t="s">
        <v>63</v>
      </c>
      <c r="G57" s="72">
        <v>23</v>
      </c>
    </row>
    <row r="58" spans="1:12" ht="24.75" thickBot="1" x14ac:dyDescent="0.45">
      <c r="A58" s="209" t="s">
        <v>119</v>
      </c>
      <c r="B58" s="63">
        <f>D56*E56+D57*E57</f>
        <v>10.8</v>
      </c>
      <c r="C58" s="61"/>
      <c r="D58" s="62"/>
      <c r="E58" s="151" t="s">
        <v>45</v>
      </c>
      <c r="F58" s="74" t="s">
        <v>64</v>
      </c>
      <c r="G58" s="73">
        <v>13</v>
      </c>
    </row>
    <row r="59" spans="1:12" ht="24" x14ac:dyDescent="0.4">
      <c r="A59" s="209" t="s">
        <v>135</v>
      </c>
      <c r="B59" s="218">
        <f>B58*(100%+C59)</f>
        <v>12.96</v>
      </c>
      <c r="C59" s="216">
        <v>0.2</v>
      </c>
      <c r="D59" s="11"/>
      <c r="E59" s="5"/>
      <c r="F59" s="1"/>
    </row>
    <row r="60" spans="1:12" ht="24" x14ac:dyDescent="0.4">
      <c r="A60" s="209" t="s">
        <v>120</v>
      </c>
      <c r="B60" s="63">
        <f>0.45*C60</f>
        <v>9</v>
      </c>
      <c r="C60" s="217">
        <v>20</v>
      </c>
      <c r="D60" s="243" t="s">
        <v>39</v>
      </c>
      <c r="E60" s="183" t="s">
        <v>38</v>
      </c>
    </row>
    <row r="61" spans="1:12" ht="24" x14ac:dyDescent="0.4">
      <c r="A61" s="209" t="s">
        <v>121</v>
      </c>
      <c r="B61" s="63">
        <v>7</v>
      </c>
      <c r="C61" s="31" t="s">
        <v>46</v>
      </c>
      <c r="D61" s="213" t="s">
        <v>47</v>
      </c>
      <c r="E61" s="66"/>
    </row>
    <row r="62" spans="1:12" ht="24" x14ac:dyDescent="0.4">
      <c r="A62" s="77"/>
      <c r="B62" s="61"/>
      <c r="C62" s="244" t="s">
        <v>104</v>
      </c>
      <c r="D62" s="66"/>
      <c r="E62" s="66"/>
    </row>
    <row r="63" spans="1:12" ht="24" x14ac:dyDescent="0.4">
      <c r="A63" s="157" t="s">
        <v>140</v>
      </c>
      <c r="B63" s="241"/>
      <c r="C63" s="241"/>
      <c r="D63" s="242"/>
      <c r="E63" s="32"/>
    </row>
    <row r="64" spans="1:12" ht="16.5" customHeight="1" x14ac:dyDescent="0.3">
      <c r="A64" s="35"/>
      <c r="B64" s="52" t="s">
        <v>155</v>
      </c>
      <c r="C64" s="31" t="s">
        <v>128</v>
      </c>
      <c r="D64" s="51" t="s">
        <v>159</v>
      </c>
      <c r="E64" s="32"/>
      <c r="F64" s="32"/>
      <c r="H64" s="2"/>
    </row>
    <row r="65" spans="1:17" ht="16.5" customHeight="1" x14ac:dyDescent="0.3">
      <c r="A65" s="210" t="s">
        <v>61</v>
      </c>
      <c r="B65" s="54">
        <v>1.3</v>
      </c>
      <c r="C65" s="55">
        <v>24</v>
      </c>
      <c r="D65" s="60">
        <v>2.6</v>
      </c>
      <c r="E65" s="211"/>
      <c r="F65" s="32"/>
      <c r="J65" s="2"/>
    </row>
    <row r="66" spans="1:17" ht="16.5" customHeight="1" x14ac:dyDescent="0.3">
      <c r="A66" s="259"/>
      <c r="B66" s="57"/>
      <c r="C66" s="47"/>
      <c r="D66" s="47"/>
      <c r="E66" s="211"/>
      <c r="F66" s="32"/>
      <c r="J66" s="2"/>
    </row>
    <row r="67" spans="1:17" ht="16.5" customHeight="1" x14ac:dyDescent="0.3">
      <c r="A67" s="259"/>
      <c r="B67" s="57">
        <v>4</v>
      </c>
      <c r="C67" s="47"/>
      <c r="D67" s="47">
        <v>1</v>
      </c>
      <c r="E67" s="211"/>
      <c r="F67" s="32"/>
      <c r="J67" s="2"/>
    </row>
    <row r="68" spans="1:17" ht="16.5" customHeight="1" x14ac:dyDescent="0.3">
      <c r="A68" s="208"/>
      <c r="B68" s="57" t="s">
        <v>157</v>
      </c>
      <c r="C68" s="47" t="s">
        <v>158</v>
      </c>
      <c r="D68" s="212" t="s">
        <v>43</v>
      </c>
      <c r="E68" s="211"/>
      <c r="F68" s="32"/>
      <c r="J68" s="2"/>
    </row>
    <row r="69" spans="1:17" ht="18" customHeight="1" x14ac:dyDescent="0.3">
      <c r="A69" s="209" t="s">
        <v>127</v>
      </c>
      <c r="B69" s="219">
        <v>9</v>
      </c>
      <c r="C69" s="219">
        <v>17.5</v>
      </c>
      <c r="D69" s="59">
        <f>(B69+C69)/2</f>
        <v>13.25</v>
      </c>
      <c r="E69" s="211" t="s">
        <v>23</v>
      </c>
      <c r="F69" s="32"/>
      <c r="K69" s="2"/>
    </row>
    <row r="70" spans="1:17" ht="18" customHeight="1" x14ac:dyDescent="0.3">
      <c r="A70" s="35"/>
      <c r="B70" s="36"/>
      <c r="C70" s="36"/>
      <c r="D70" s="36"/>
      <c r="E70" s="31"/>
      <c r="F70" s="32"/>
      <c r="K70" s="2"/>
    </row>
    <row r="80" spans="1:17" x14ac:dyDescent="0.25">
      <c r="K80" t="s">
        <v>177</v>
      </c>
      <c r="L80" s="306" t="s">
        <v>152</v>
      </c>
      <c r="M80" s="306"/>
      <c r="N80" s="306" t="s">
        <v>153</v>
      </c>
      <c r="O80" s="306"/>
      <c r="P80" s="306" t="s">
        <v>154</v>
      </c>
      <c r="Q80" s="306"/>
    </row>
    <row r="81" spans="1:17" x14ac:dyDescent="0.25">
      <c r="B81" s="37" t="s">
        <v>37</v>
      </c>
      <c r="D81" s="18">
        <v>0.27</v>
      </c>
      <c r="E81" t="s">
        <v>209</v>
      </c>
      <c r="L81" s="258" t="s">
        <v>178</v>
      </c>
      <c r="M81" s="258" t="s">
        <v>179</v>
      </c>
      <c r="N81" s="258" t="s">
        <v>148</v>
      </c>
      <c r="O81" s="258" t="s">
        <v>149</v>
      </c>
      <c r="P81" s="258" t="s">
        <v>150</v>
      </c>
      <c r="Q81" s="258" t="s">
        <v>151</v>
      </c>
    </row>
    <row r="82" spans="1:17" x14ac:dyDescent="0.25">
      <c r="K82" t="s">
        <v>147</v>
      </c>
      <c r="L82">
        <f>53000/100</f>
        <v>530</v>
      </c>
      <c r="M82">
        <f>80000/100</f>
        <v>800</v>
      </c>
      <c r="N82">
        <f>80000/100</f>
        <v>800</v>
      </c>
      <c r="O82">
        <f>106000/100</f>
        <v>1060</v>
      </c>
      <c r="P82">
        <f>106000/100</f>
        <v>1060</v>
      </c>
      <c r="Q82">
        <f>133000/100</f>
        <v>1330</v>
      </c>
    </row>
    <row r="83" spans="1:17" x14ac:dyDescent="0.25">
      <c r="K83" t="s">
        <v>35</v>
      </c>
      <c r="L83">
        <v>175</v>
      </c>
      <c r="M83">
        <v>450</v>
      </c>
      <c r="N83">
        <v>375</v>
      </c>
      <c r="O83">
        <v>600</v>
      </c>
      <c r="P83">
        <v>525</v>
      </c>
      <c r="Q83">
        <v>750</v>
      </c>
    </row>
    <row r="93" spans="1:17" x14ac:dyDescent="0.25">
      <c r="A93" s="268" t="s">
        <v>162</v>
      </c>
      <c r="B93" s="2" t="s">
        <v>168</v>
      </c>
      <c r="C93" s="2" t="s">
        <v>169</v>
      </c>
    </row>
    <row r="94" spans="1:17" x14ac:dyDescent="0.25">
      <c r="A94" s="11" t="s">
        <v>164</v>
      </c>
      <c r="B94" s="266">
        <v>4100000</v>
      </c>
      <c r="C94" t="s">
        <v>160</v>
      </c>
    </row>
    <row r="95" spans="1:17" x14ac:dyDescent="0.25">
      <c r="A95" s="11" t="s">
        <v>165</v>
      </c>
      <c r="B95" s="266">
        <v>3800000</v>
      </c>
      <c r="C95" t="s">
        <v>166</v>
      </c>
    </row>
    <row r="96" spans="1:17" x14ac:dyDescent="0.25">
      <c r="A96" s="11" t="s">
        <v>167</v>
      </c>
      <c r="B96" s="266">
        <f>B94-B95</f>
        <v>300000</v>
      </c>
    </row>
    <row r="97" spans="1:9" x14ac:dyDescent="0.25">
      <c r="A97" s="11" t="s">
        <v>163</v>
      </c>
      <c r="B97" s="266">
        <v>3031</v>
      </c>
      <c r="C97" s="37" t="s">
        <v>161</v>
      </c>
    </row>
    <row r="98" spans="1:9" x14ac:dyDescent="0.25">
      <c r="A98" s="11" t="s">
        <v>176</v>
      </c>
      <c r="B98" s="266">
        <v>5584</v>
      </c>
      <c r="C98" s="267">
        <f>B98/365</f>
        <v>15.298630136986301</v>
      </c>
    </row>
    <row r="100" spans="1:9" x14ac:dyDescent="0.25">
      <c r="B100" t="s">
        <v>177</v>
      </c>
      <c r="C100">
        <f>540/83000</f>
        <v>6.5060240963855419E-3</v>
      </c>
    </row>
    <row r="101" spans="1:9" ht="45" x14ac:dyDescent="0.25">
      <c r="A101" s="268" t="s">
        <v>170</v>
      </c>
      <c r="B101" s="2" t="s">
        <v>195</v>
      </c>
      <c r="C101" s="2" t="s">
        <v>196</v>
      </c>
      <c r="D101" s="2" t="s">
        <v>175</v>
      </c>
      <c r="E101" s="2" t="s">
        <v>197</v>
      </c>
      <c r="F101" s="2" t="s">
        <v>198</v>
      </c>
      <c r="G101" s="2" t="s">
        <v>194</v>
      </c>
      <c r="H101" s="2" t="s">
        <v>193</v>
      </c>
      <c r="I101" s="279" t="s">
        <v>199</v>
      </c>
    </row>
    <row r="102" spans="1:9" x14ac:dyDescent="0.25">
      <c r="A102" s="11" t="s">
        <v>171</v>
      </c>
      <c r="B102">
        <v>3.65</v>
      </c>
      <c r="C102" s="266">
        <f>B102*C$100*1000000000</f>
        <v>23746987.951807227</v>
      </c>
      <c r="D102" s="269">
        <v>0.79879999999999995</v>
      </c>
      <c r="E102" s="266">
        <f>D102*C$106</f>
        <v>21968081.748433731</v>
      </c>
      <c r="F102" s="266">
        <f>E23*D23</f>
        <v>2484</v>
      </c>
      <c r="G102">
        <v>121</v>
      </c>
      <c r="H102" s="267">
        <f>E102*F102*G102/1000000000</f>
        <v>6602.8145226362367</v>
      </c>
      <c r="I102" s="266">
        <f>E102/(C29+C35)</f>
        <v>340.80326222873924</v>
      </c>
    </row>
    <row r="103" spans="1:9" x14ac:dyDescent="0.25">
      <c r="A103" s="11" t="s">
        <v>172</v>
      </c>
      <c r="B103">
        <v>0.38800000000000001</v>
      </c>
      <c r="C103" s="266">
        <f t="shared" ref="C103:C105" si="18">B103*C$100*1000000000</f>
        <v>2524337.3493975904</v>
      </c>
      <c r="D103" s="269">
        <v>0.19</v>
      </c>
      <c r="E103" s="266">
        <f t="shared" ref="E103:E104" si="19">D103*C$106</f>
        <v>5225257.3012048183</v>
      </c>
      <c r="F103" s="266">
        <f>E24*D24</f>
        <v>2484</v>
      </c>
      <c r="G103">
        <v>16</v>
      </c>
      <c r="H103" s="267">
        <f t="shared" ref="H103:H105" si="20">E103*F103*G103/1000000000</f>
        <v>207.67262617908429</v>
      </c>
    </row>
    <row r="104" spans="1:9" x14ac:dyDescent="0.25">
      <c r="A104" s="11" t="s">
        <v>173</v>
      </c>
      <c r="B104">
        <v>0.1885</v>
      </c>
      <c r="C104" s="266">
        <f t="shared" si="18"/>
        <v>1226385.5421686748</v>
      </c>
      <c r="D104" s="269">
        <v>1.0999999999999999E-2</v>
      </c>
      <c r="E104" s="266">
        <f t="shared" si="19"/>
        <v>302514.89638554212</v>
      </c>
      <c r="F104" s="266">
        <f>E25*D25</f>
        <v>2484</v>
      </c>
      <c r="G104">
        <v>36</v>
      </c>
      <c r="H104" s="267">
        <f t="shared" si="20"/>
        <v>27.052092094380718</v>
      </c>
    </row>
    <row r="105" spans="1:9" x14ac:dyDescent="0.25">
      <c r="A105" s="11" t="s">
        <v>174</v>
      </c>
      <c r="B105">
        <v>5.5999999999999995E-4</v>
      </c>
      <c r="C105" s="266">
        <f t="shared" si="18"/>
        <v>3643.3734939759029</v>
      </c>
      <c r="D105" s="269">
        <v>2.0000000000000001E-4</v>
      </c>
      <c r="E105" s="266">
        <f>D105*C$106</f>
        <v>5500.2708433734933</v>
      </c>
      <c r="F105" s="266">
        <f>E26*D26</f>
        <v>2484</v>
      </c>
      <c r="G105" s="4">
        <v>300</v>
      </c>
      <c r="H105" s="267">
        <f t="shared" si="20"/>
        <v>4.0988018324819269</v>
      </c>
    </row>
    <row r="106" spans="1:9" x14ac:dyDescent="0.25">
      <c r="B106" s="270">
        <f>SUM(B102:B105)</f>
        <v>4.2270600000000007</v>
      </c>
      <c r="C106" s="8">
        <f>SUM(C102:C105)</f>
        <v>27501354.216867466</v>
      </c>
      <c r="D106" s="271">
        <f>SUM(D102:D105)</f>
        <v>0.99999999999999989</v>
      </c>
      <c r="E106" s="13">
        <f>SUM(E102:E105)</f>
        <v>27501354.216867466</v>
      </c>
      <c r="F106" s="13"/>
      <c r="H106" s="278">
        <f>SUM(H102:H105)</f>
        <v>6841.6380427421836</v>
      </c>
      <c r="I106" s="266">
        <f>H29+H35</f>
        <v>574.52154058522024</v>
      </c>
    </row>
    <row r="109" spans="1:9" x14ac:dyDescent="0.25">
      <c r="A109" s="268" t="s">
        <v>204</v>
      </c>
      <c r="B109" s="280">
        <v>1.6E-2</v>
      </c>
    </row>
    <row r="110" spans="1:9" x14ac:dyDescent="0.25">
      <c r="A110" t="s">
        <v>203</v>
      </c>
      <c r="B110">
        <v>15</v>
      </c>
    </row>
    <row r="111" spans="1:9" x14ac:dyDescent="0.25">
      <c r="A111" t="s">
        <v>221</v>
      </c>
      <c r="B111" s="281">
        <f>100%-100%*(100%-B109)^B110</f>
        <v>0.21489728996384672</v>
      </c>
    </row>
    <row r="113" spans="1:2" x14ac:dyDescent="0.25">
      <c r="A113" s="268" t="s">
        <v>208</v>
      </c>
    </row>
    <row r="114" spans="1:2" x14ac:dyDescent="0.25">
      <c r="A114" t="s">
        <v>205</v>
      </c>
      <c r="B114" s="280">
        <f>-12/5/100</f>
        <v>-2.4E-2</v>
      </c>
    </row>
    <row r="115" spans="1:2" x14ac:dyDescent="0.25">
      <c r="A115" t="s">
        <v>206</v>
      </c>
      <c r="B115" s="280">
        <f>8%/5</f>
        <v>1.6E-2</v>
      </c>
    </row>
    <row r="116" spans="1:2" x14ac:dyDescent="0.25">
      <c r="A116" t="s">
        <v>207</v>
      </c>
      <c r="B116" s="280">
        <f>B114+B115</f>
        <v>-8.0000000000000002E-3</v>
      </c>
    </row>
  </sheetData>
  <mergeCells count="5">
    <mergeCell ref="D40:D42"/>
    <mergeCell ref="D46:D47"/>
    <mergeCell ref="L80:M80"/>
    <mergeCell ref="N80:O80"/>
    <mergeCell ref="P80:Q80"/>
  </mergeCells>
  <hyperlinks>
    <hyperlink ref="D60" r:id="rId1" xr:uid="{EB506E43-78C1-41EA-9AD7-11B0D3F018BC}"/>
    <hyperlink ref="A37" r:id="rId2" xr:uid="{CB90C1B9-332C-46F0-97BA-DCE4E5136625}"/>
    <hyperlink ref="A45" r:id="rId3" display="3. Fahrzeuge innerhalb" xr:uid="{01C98605-A7D0-4B0E-9417-C6C51B4F1E35}"/>
    <hyperlink ref="B81" r:id="rId4" xr:uid="{510A45BE-B75F-4E50-87C0-D660A46936F1}"/>
    <hyperlink ref="C97" r:id="rId5" xr:uid="{35215648-8D51-470F-8985-37111A2F67AC}"/>
  </hyperlinks>
  <pageMargins left="0.7" right="0.7" top="0.78740157499999996" bottom="0.78740157499999996" header="0.3" footer="0.3"/>
  <pageSetup paperSize="9" orientation="portrait" verticalDpi="0" r:id="rId6"/>
  <drawing r:id="rId7"/>
  <legacy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0CFF9-86D3-4E37-96AC-FC56E7232096}">
  <dimension ref="A1:L138"/>
  <sheetViews>
    <sheetView tabSelected="1" topLeftCell="A129" zoomScale="90" zoomScaleNormal="90" workbookViewId="0">
      <selection activeCell="B35" sqref="B35:C37"/>
    </sheetView>
  </sheetViews>
  <sheetFormatPr baseColWidth="10" defaultRowHeight="15" x14ac:dyDescent="0.25"/>
  <cols>
    <col min="1" max="1" width="103.7109375" customWidth="1"/>
    <col min="2" max="2" width="35" customWidth="1"/>
    <col min="3" max="3" width="23.140625" customWidth="1"/>
    <col min="4" max="4" width="29.42578125" customWidth="1"/>
    <col min="5" max="5" width="17.140625" customWidth="1"/>
    <col min="6" max="6" width="20.28515625" customWidth="1"/>
    <col min="7" max="7" width="19" customWidth="1"/>
    <col min="8" max="8" width="14.28515625" customWidth="1"/>
    <col min="9" max="9" width="18.42578125" customWidth="1"/>
  </cols>
  <sheetData>
    <row r="1" spans="1:10" ht="29.25" customHeight="1" x14ac:dyDescent="0.4">
      <c r="A1" s="45" t="s">
        <v>0</v>
      </c>
      <c r="B1" s="147" t="s">
        <v>80</v>
      </c>
      <c r="C1" s="148" t="s">
        <v>81</v>
      </c>
      <c r="D1" s="12"/>
    </row>
    <row r="2" spans="1:10" ht="29.25" customHeight="1" x14ac:dyDescent="0.4">
      <c r="A2" s="166" t="s">
        <v>99</v>
      </c>
      <c r="B2" s="147">
        <v>833.1</v>
      </c>
      <c r="C2" s="148">
        <v>833.1</v>
      </c>
      <c r="D2" s="12"/>
    </row>
    <row r="3" spans="1:10" ht="26.25" x14ac:dyDescent="0.4">
      <c r="A3" s="100" t="s">
        <v>95</v>
      </c>
      <c r="B3" s="99">
        <f>D67</f>
        <v>801.51064460976602</v>
      </c>
      <c r="C3" s="98">
        <f>G67</f>
        <v>598.69505102821199</v>
      </c>
    </row>
    <row r="4" spans="1:10" ht="24" x14ac:dyDescent="0.4">
      <c r="A4" s="43" t="s">
        <v>83</v>
      </c>
      <c r="B4" s="15"/>
      <c r="C4" s="96" t="s">
        <v>13</v>
      </c>
      <c r="D4" s="93"/>
      <c r="E4" s="93"/>
      <c r="F4" s="146" t="s">
        <v>14</v>
      </c>
      <c r="G4" s="17"/>
      <c r="H4" s="17"/>
      <c r="I4" s="17"/>
      <c r="J4" s="17"/>
    </row>
    <row r="5" spans="1:10" ht="72" x14ac:dyDescent="0.4">
      <c r="A5" s="9" t="s">
        <v>79</v>
      </c>
      <c r="B5" s="91" t="s">
        <v>68</v>
      </c>
      <c r="C5" s="97" t="s">
        <v>67</v>
      </c>
      <c r="D5" s="84" t="s">
        <v>5</v>
      </c>
      <c r="E5" s="94" t="s">
        <v>65</v>
      </c>
      <c r="F5" s="95" t="s">
        <v>17</v>
      </c>
    </row>
    <row r="6" spans="1:10" ht="24" x14ac:dyDescent="0.4">
      <c r="A6" s="27" t="s">
        <v>96</v>
      </c>
      <c r="B6" s="48"/>
      <c r="C6" s="116"/>
      <c r="D6" s="47"/>
      <c r="E6" s="163"/>
      <c r="F6" s="164"/>
    </row>
    <row r="7" spans="1:10" ht="24" x14ac:dyDescent="0.4">
      <c r="A7" s="77" t="s">
        <v>54</v>
      </c>
      <c r="B7" s="92">
        <v>8663</v>
      </c>
      <c r="C7" s="23">
        <v>1</v>
      </c>
      <c r="D7" s="66"/>
      <c r="E7" s="78">
        <f>B7</f>
        <v>8663</v>
      </c>
      <c r="F7" s="79">
        <v>56</v>
      </c>
      <c r="G7" s="2"/>
    </row>
    <row r="8" spans="1:10" ht="24" x14ac:dyDescent="0.4">
      <c r="A8" s="160" t="s">
        <v>98</v>
      </c>
      <c r="B8" s="92"/>
      <c r="C8" s="23"/>
      <c r="D8" s="66"/>
      <c r="E8" s="78"/>
      <c r="F8" s="79"/>
      <c r="G8" s="2"/>
    </row>
    <row r="9" spans="1:10" ht="24" x14ac:dyDescent="0.4">
      <c r="A9" s="77" t="s">
        <v>53</v>
      </c>
      <c r="B9" s="92">
        <v>463564</v>
      </c>
      <c r="C9" s="23">
        <f>IF((100%-C12-C11-C10&lt;0),0,100%-C12-C11-C10)</f>
        <v>0.49999999999999994</v>
      </c>
      <c r="D9" s="61"/>
      <c r="E9" s="80">
        <f>B9*C9</f>
        <v>231781.99999999997</v>
      </c>
      <c r="F9" s="79">
        <v>169</v>
      </c>
      <c r="G9" s="2"/>
    </row>
    <row r="10" spans="1:10" ht="24" x14ac:dyDescent="0.4">
      <c r="A10" s="158" t="s">
        <v>62</v>
      </c>
      <c r="B10" s="92" t="s">
        <v>28</v>
      </c>
      <c r="C10" s="24">
        <v>0.2</v>
      </c>
      <c r="D10" s="61"/>
      <c r="E10" s="81">
        <f>B9*C10*B87/D87</f>
        <v>30131.660000000003</v>
      </c>
      <c r="F10" s="79"/>
      <c r="G10" s="2"/>
    </row>
    <row r="11" spans="1:10" ht="24" x14ac:dyDescent="0.4">
      <c r="A11" s="159" t="s">
        <v>66</v>
      </c>
      <c r="B11" s="87"/>
      <c r="C11" s="25">
        <v>0.2</v>
      </c>
      <c r="D11" s="61"/>
      <c r="E11" s="82">
        <f>B9*C11</f>
        <v>92712.8</v>
      </c>
      <c r="F11" s="79">
        <v>2</v>
      </c>
      <c r="G11" s="2"/>
    </row>
    <row r="12" spans="1:10" ht="24" x14ac:dyDescent="0.4">
      <c r="A12" s="160" t="s">
        <v>2</v>
      </c>
      <c r="B12" s="92" t="s">
        <v>4</v>
      </c>
      <c r="C12" s="26">
        <v>0.1</v>
      </c>
      <c r="D12" s="61" t="s">
        <v>29</v>
      </c>
      <c r="E12" s="83">
        <f>B9*C12</f>
        <v>46356.4</v>
      </c>
      <c r="F12" s="84">
        <v>79</v>
      </c>
      <c r="G12" s="2"/>
    </row>
    <row r="13" spans="1:10" ht="24" x14ac:dyDescent="0.4">
      <c r="A13" s="77" t="s">
        <v>55</v>
      </c>
      <c r="B13" s="92">
        <v>3039</v>
      </c>
      <c r="C13" s="23">
        <f>100%-C14</f>
        <v>0</v>
      </c>
      <c r="D13" s="66"/>
      <c r="E13" s="86">
        <f>B13*C13</f>
        <v>0</v>
      </c>
      <c r="F13" s="79">
        <v>96</v>
      </c>
    </row>
    <row r="14" spans="1:10" ht="24.75" customHeight="1" x14ac:dyDescent="0.4">
      <c r="A14" s="160" t="s">
        <v>3</v>
      </c>
      <c r="B14" s="92" t="s">
        <v>4</v>
      </c>
      <c r="C14" s="26">
        <v>1</v>
      </c>
      <c r="D14" s="87" t="s">
        <v>30</v>
      </c>
      <c r="E14" s="88">
        <f>B13*C14</f>
        <v>3039</v>
      </c>
      <c r="F14" s="84">
        <v>72</v>
      </c>
    </row>
    <row r="15" spans="1:10" ht="23.25" customHeight="1" x14ac:dyDescent="0.4">
      <c r="A15" s="27" t="s">
        <v>97</v>
      </c>
      <c r="B15" s="87"/>
      <c r="C15" s="23"/>
      <c r="D15" s="87"/>
      <c r="E15" s="165"/>
      <c r="F15" s="47"/>
    </row>
    <row r="16" spans="1:10" ht="24" x14ac:dyDescent="0.4">
      <c r="A16" s="161" t="s">
        <v>51</v>
      </c>
      <c r="B16" s="78">
        <v>18723</v>
      </c>
      <c r="C16" s="23">
        <f>100%-C17</f>
        <v>0.8</v>
      </c>
      <c r="D16" s="61"/>
      <c r="E16" s="80">
        <f>B16*C16</f>
        <v>14978.400000000001</v>
      </c>
      <c r="F16" s="79">
        <v>398</v>
      </c>
      <c r="G16" s="2"/>
    </row>
    <row r="17" spans="1:7" ht="24" x14ac:dyDescent="0.4">
      <c r="A17" s="162" t="s">
        <v>35</v>
      </c>
      <c r="B17" s="78" t="s">
        <v>4</v>
      </c>
      <c r="C17" s="26">
        <v>0.2</v>
      </c>
      <c r="D17" s="61"/>
      <c r="E17" s="80">
        <f>B16*C17</f>
        <v>3744.6000000000004</v>
      </c>
      <c r="F17" s="85">
        <f>I38*F16</f>
        <v>107.46000000000001</v>
      </c>
      <c r="G17" s="2"/>
    </row>
    <row r="18" spans="1:7" ht="24" x14ac:dyDescent="0.4">
      <c r="A18" s="161" t="s">
        <v>52</v>
      </c>
      <c r="B18" s="92">
        <v>17561</v>
      </c>
      <c r="C18" s="23">
        <f>100%-C17</f>
        <v>0.8</v>
      </c>
      <c r="D18" s="61"/>
      <c r="E18" s="80">
        <f>B18*C18</f>
        <v>14048.800000000001</v>
      </c>
      <c r="F18" s="79">
        <v>103</v>
      </c>
      <c r="G18" s="2"/>
    </row>
    <row r="19" spans="1:7" ht="24" x14ac:dyDescent="0.4">
      <c r="A19" s="162" t="s">
        <v>36</v>
      </c>
      <c r="B19" s="92" t="s">
        <v>4</v>
      </c>
      <c r="C19" s="23">
        <f>C17</f>
        <v>0.2</v>
      </c>
      <c r="D19" s="61"/>
      <c r="E19" s="80">
        <f>B18*C19</f>
        <v>3512.2000000000003</v>
      </c>
      <c r="F19" s="84">
        <f>F18*I38</f>
        <v>27.810000000000002</v>
      </c>
      <c r="G19" s="2"/>
    </row>
    <row r="20" spans="1:7" ht="24" x14ac:dyDescent="0.4">
      <c r="B20" s="90">
        <f>SUM(B7:B19)</f>
        <v>511550</v>
      </c>
      <c r="C20" s="8"/>
      <c r="D20" s="89"/>
      <c r="E20" s="90">
        <f>SUM(E7:E19)</f>
        <v>448968.86</v>
      </c>
      <c r="F20" s="66"/>
    </row>
    <row r="21" spans="1:7" ht="24" x14ac:dyDescent="0.4">
      <c r="B21" s="87"/>
      <c r="C21" s="8"/>
      <c r="D21" s="89"/>
      <c r="E21" s="87"/>
      <c r="F21" s="66"/>
    </row>
    <row r="22" spans="1:7" ht="24" x14ac:dyDescent="0.4">
      <c r="B22" s="87"/>
      <c r="C22" s="8"/>
      <c r="D22" s="89"/>
      <c r="E22" s="87"/>
      <c r="F22" s="66"/>
    </row>
    <row r="23" spans="1:7" ht="24" x14ac:dyDescent="0.4">
      <c r="B23" s="87"/>
      <c r="C23" s="8"/>
      <c r="D23" s="89"/>
      <c r="E23" s="87"/>
      <c r="F23" s="66"/>
    </row>
    <row r="24" spans="1:7" ht="24" x14ac:dyDescent="0.4">
      <c r="B24" s="87"/>
      <c r="C24" s="8"/>
      <c r="D24" s="89"/>
      <c r="E24" s="87"/>
      <c r="F24" s="66"/>
    </row>
    <row r="25" spans="1:7" ht="24" x14ac:dyDescent="0.4">
      <c r="B25" s="87"/>
      <c r="C25" s="8"/>
      <c r="D25" s="89"/>
      <c r="E25" s="87"/>
      <c r="F25" s="66"/>
    </row>
    <row r="26" spans="1:7" ht="24" x14ac:dyDescent="0.4">
      <c r="B26" s="87"/>
      <c r="C26" s="8"/>
      <c r="D26" s="89"/>
      <c r="E26" s="87"/>
      <c r="F26" s="66"/>
    </row>
    <row r="27" spans="1:7" ht="24" x14ac:dyDescent="0.4">
      <c r="B27" s="87"/>
      <c r="C27" s="8"/>
      <c r="D27" s="89"/>
      <c r="E27" s="87"/>
      <c r="F27" s="66"/>
    </row>
    <row r="28" spans="1:7" ht="24" x14ac:dyDescent="0.4">
      <c r="B28" s="87"/>
      <c r="C28" s="8"/>
      <c r="D28" s="89"/>
      <c r="E28" s="87"/>
      <c r="F28" s="66"/>
    </row>
    <row r="29" spans="1:7" ht="24" x14ac:dyDescent="0.4">
      <c r="B29" s="87"/>
      <c r="C29" s="8"/>
      <c r="D29" s="89"/>
      <c r="E29" s="87"/>
      <c r="F29" s="66"/>
    </row>
    <row r="30" spans="1:7" ht="24" x14ac:dyDescent="0.4">
      <c r="B30" s="87"/>
      <c r="C30" s="8"/>
      <c r="D30" s="89"/>
      <c r="E30" s="87"/>
      <c r="F30" s="66"/>
    </row>
    <row r="31" spans="1:7" ht="24" x14ac:dyDescent="0.4">
      <c r="B31" s="87"/>
      <c r="C31" s="8"/>
      <c r="D31" s="89"/>
      <c r="E31" s="87"/>
      <c r="F31" s="66"/>
    </row>
    <row r="32" spans="1:7" ht="24" x14ac:dyDescent="0.4">
      <c r="B32" s="87"/>
      <c r="C32" s="8"/>
      <c r="D32" s="89"/>
      <c r="E32" s="87"/>
      <c r="F32" s="66"/>
    </row>
    <row r="33" spans="1:9" ht="24" x14ac:dyDescent="0.4">
      <c r="C33" s="8"/>
      <c r="D33" s="89"/>
      <c r="E33" s="87"/>
      <c r="F33" s="66"/>
    </row>
    <row r="34" spans="1:9" ht="24" x14ac:dyDescent="0.4">
      <c r="A34" s="101" t="s">
        <v>84</v>
      </c>
      <c r="B34" s="102" t="str">
        <f>B39</f>
        <v>Krad;PkW+Kombi;Busse</v>
      </c>
      <c r="C34" s="102" t="str">
        <f>C39</f>
        <v>Lkw; Lz</v>
      </c>
      <c r="D34" s="153" t="s">
        <v>11</v>
      </c>
    </row>
    <row r="35" spans="1:9" ht="24" x14ac:dyDescent="0.4">
      <c r="A35" s="103" t="s">
        <v>8</v>
      </c>
      <c r="B35" s="92">
        <f>E7</f>
        <v>8663</v>
      </c>
      <c r="C35" s="87"/>
      <c r="D35" s="308">
        <f>B35+B36+B37+C36+C37</f>
        <v>511550</v>
      </c>
      <c r="E35" s="4"/>
    </row>
    <row r="36" spans="1:9" ht="24" customHeight="1" x14ac:dyDescent="0.4">
      <c r="A36" s="103" t="s">
        <v>9</v>
      </c>
      <c r="B36" s="92">
        <f>B9</f>
        <v>463564</v>
      </c>
      <c r="C36" s="92">
        <f>B16</f>
        <v>18723</v>
      </c>
      <c r="D36" s="308"/>
      <c r="E36" s="4"/>
    </row>
    <row r="37" spans="1:9" ht="24" x14ac:dyDescent="0.4">
      <c r="A37" s="103" t="s">
        <v>7</v>
      </c>
      <c r="B37" s="92">
        <f>B13</f>
        <v>3039</v>
      </c>
      <c r="C37" s="92">
        <f>B18</f>
        <v>17561</v>
      </c>
      <c r="D37" s="308"/>
      <c r="E37" s="4"/>
    </row>
    <row r="38" spans="1:9" ht="24" x14ac:dyDescent="0.4">
      <c r="A38" s="103"/>
      <c r="B38" s="87"/>
      <c r="C38" s="87"/>
      <c r="D38" s="87"/>
      <c r="E38" s="4"/>
      <c r="G38" s="37" t="s">
        <v>37</v>
      </c>
      <c r="I38" s="18">
        <v>0.27</v>
      </c>
    </row>
    <row r="39" spans="1:9" ht="24" x14ac:dyDescent="0.4">
      <c r="A39" s="108" t="s">
        <v>85</v>
      </c>
      <c r="B39" s="109" t="s">
        <v>10</v>
      </c>
      <c r="C39" s="110" t="s">
        <v>25</v>
      </c>
      <c r="D39" s="153" t="str">
        <f>D34</f>
        <v>Summe / Kommentar</v>
      </c>
      <c r="E39" s="66"/>
    </row>
    <row r="40" spans="1:9" ht="24" x14ac:dyDescent="0.4">
      <c r="A40" s="44" t="s">
        <v>86</v>
      </c>
      <c r="B40" s="8"/>
      <c r="C40" s="8"/>
      <c r="D40" s="8"/>
    </row>
    <row r="41" spans="1:9" ht="24" x14ac:dyDescent="0.4">
      <c r="A41" s="77" t="str">
        <f>A35</f>
        <v>Leicht: Krad</v>
      </c>
      <c r="B41" s="111">
        <v>23988</v>
      </c>
      <c r="C41" s="110"/>
      <c r="D41" s="307">
        <f>B42+C42+B41</f>
        <v>294271</v>
      </c>
      <c r="E41" s="66"/>
    </row>
    <row r="42" spans="1:9" ht="24" x14ac:dyDescent="0.4">
      <c r="A42" s="77" t="s">
        <v>26</v>
      </c>
      <c r="B42" s="112">
        <v>249281</v>
      </c>
      <c r="C42" s="112">
        <v>21002</v>
      </c>
      <c r="D42" s="307"/>
      <c r="E42" s="66"/>
    </row>
    <row r="43" spans="1:9" ht="24" x14ac:dyDescent="0.4">
      <c r="A43" s="77"/>
      <c r="B43" s="167"/>
      <c r="C43" s="167"/>
      <c r="D43" s="167"/>
      <c r="E43" s="66"/>
    </row>
    <row r="44" spans="1:9" ht="24" x14ac:dyDescent="0.4">
      <c r="A44" s="77"/>
      <c r="B44" s="167"/>
      <c r="C44" s="167"/>
      <c r="D44" s="167"/>
      <c r="E44" s="66"/>
    </row>
    <row r="45" spans="1:9" ht="24" x14ac:dyDescent="0.4">
      <c r="A45" s="156" t="s">
        <v>94</v>
      </c>
      <c r="B45" s="87"/>
      <c r="C45" s="87"/>
      <c r="D45" s="87"/>
      <c r="E45" s="66"/>
    </row>
    <row r="46" spans="1:9" ht="24" x14ac:dyDescent="0.4">
      <c r="A46" s="101" t="s">
        <v>82</v>
      </c>
      <c r="B46" s="87"/>
      <c r="C46" s="87"/>
      <c r="D46" s="87"/>
      <c r="E46" s="4"/>
    </row>
    <row r="47" spans="1:9" ht="24" x14ac:dyDescent="0.4">
      <c r="A47" s="103" t="s">
        <v>78</v>
      </c>
      <c r="B47" s="92">
        <f>B35*B$74*B$80*1</f>
        <v>21518892</v>
      </c>
      <c r="C47" s="87"/>
      <c r="D47" s="87"/>
    </row>
    <row r="48" spans="1:9" ht="48" x14ac:dyDescent="0.4">
      <c r="A48" s="104" t="s">
        <v>76</v>
      </c>
      <c r="B48" s="92">
        <f>B36*B$74*B$80*B87</f>
        <v>1496940868.8</v>
      </c>
      <c r="C48" s="92">
        <f>C36*B$74*B$80*B89</f>
        <v>418571388</v>
      </c>
      <c r="D48" s="105" t="s">
        <v>75</v>
      </c>
    </row>
    <row r="49" spans="1:8" ht="24" x14ac:dyDescent="0.4">
      <c r="A49" s="103" t="s">
        <v>77</v>
      </c>
      <c r="B49" s="92">
        <f>B37*B$76*B$80*C87</f>
        <v>287513712</v>
      </c>
      <c r="C49" s="92">
        <f>C37*B$74*B$80*C89</f>
        <v>763376670</v>
      </c>
      <c r="D49" s="105" t="s">
        <v>15</v>
      </c>
    </row>
    <row r="50" spans="1:8" ht="24" x14ac:dyDescent="0.4">
      <c r="A50" s="103"/>
      <c r="B50" s="106">
        <f>SUM(B47:B49)</f>
        <v>1805973472.8</v>
      </c>
      <c r="C50" s="106">
        <f>SUM(C47:C49)</f>
        <v>1181948058</v>
      </c>
      <c r="D50" s="105"/>
    </row>
    <row r="51" spans="1:8" ht="27.75" customHeight="1" x14ac:dyDescent="0.25">
      <c r="A51" s="145" t="s">
        <v>41</v>
      </c>
      <c r="B51" s="107">
        <f>E10*B87*B$74*B$80</f>
        <v>97301156.472000003</v>
      </c>
      <c r="C51" s="87"/>
      <c r="D51" s="105"/>
    </row>
    <row r="52" spans="1:8" ht="15.75" x14ac:dyDescent="0.25">
      <c r="A52" s="14"/>
      <c r="B52" s="8"/>
      <c r="C52" s="8"/>
      <c r="D52" s="16"/>
    </row>
    <row r="53" spans="1:8" ht="24" x14ac:dyDescent="0.4">
      <c r="A53" s="113" t="s">
        <v>87</v>
      </c>
      <c r="B53" s="87"/>
      <c r="C53" s="87"/>
      <c r="D53" s="87"/>
      <c r="E53" s="66"/>
    </row>
    <row r="54" spans="1:8" ht="24" customHeight="1" x14ac:dyDescent="0.4">
      <c r="A54" s="53" t="s">
        <v>59</v>
      </c>
      <c r="B54" s="54">
        <v>0.52</v>
      </c>
      <c r="C54" s="21" t="s">
        <v>103</v>
      </c>
      <c r="D54" s="32"/>
      <c r="E54" s="32"/>
      <c r="F54" s="32"/>
      <c r="H54" s="2"/>
    </row>
    <row r="55" spans="1:8" ht="24" x14ac:dyDescent="0.4">
      <c r="A55" s="103" t="s">
        <v>27</v>
      </c>
      <c r="B55" s="112">
        <f>B41*B$75*B$82*1*B54</f>
        <v>37608386.399999999</v>
      </c>
      <c r="C55" s="87"/>
      <c r="D55" s="87"/>
      <c r="E55" s="66"/>
    </row>
    <row r="56" spans="1:8" ht="82.5" customHeight="1" x14ac:dyDescent="0.4">
      <c r="A56" s="104" t="s">
        <v>69</v>
      </c>
      <c r="B56" s="112">
        <f>B42*C9*B75*B$82*B87*B54</f>
        <v>254034788.66999999</v>
      </c>
      <c r="C56" s="114">
        <f>C42*B74*$B$82*D89</f>
        <v>576032355</v>
      </c>
      <c r="D56" s="115" t="s">
        <v>18</v>
      </c>
      <c r="E56" s="142" t="s">
        <v>34</v>
      </c>
    </row>
    <row r="57" spans="1:8" ht="24" x14ac:dyDescent="0.4">
      <c r="A57" s="104"/>
      <c r="B57" s="106">
        <f>SUM(B55:B56)</f>
        <v>291643175.06999999</v>
      </c>
      <c r="C57" s="106">
        <f>SUM(C55:C56)</f>
        <v>576032355</v>
      </c>
      <c r="D57" s="115"/>
      <c r="E57" s="116"/>
      <c r="F57" s="6"/>
    </row>
    <row r="58" spans="1:8" ht="24" x14ac:dyDescent="0.4">
      <c r="A58" s="117" t="s">
        <v>88</v>
      </c>
      <c r="B58" s="118">
        <f>B50+B57</f>
        <v>2097616647.8699999</v>
      </c>
      <c r="C58" s="118">
        <f>C50+C57</f>
        <v>1757980413</v>
      </c>
      <c r="D58" s="119"/>
      <c r="E58" s="66"/>
    </row>
    <row r="59" spans="1:8" ht="24" x14ac:dyDescent="0.4">
      <c r="A59" s="117"/>
      <c r="B59" s="119"/>
      <c r="C59" s="119"/>
      <c r="D59" s="119"/>
      <c r="E59" s="66"/>
    </row>
    <row r="60" spans="1:8" x14ac:dyDescent="0.25">
      <c r="A60" s="3"/>
      <c r="B60" s="13"/>
      <c r="C60" s="13"/>
      <c r="D60" s="13"/>
    </row>
    <row r="61" spans="1:8" ht="24" x14ac:dyDescent="0.4">
      <c r="A61" s="120" t="s">
        <v>89</v>
      </c>
      <c r="B61" s="121" t="s">
        <v>21</v>
      </c>
      <c r="C61" s="122"/>
      <c r="D61" s="122"/>
      <c r="E61" s="123" t="s">
        <v>20</v>
      </c>
      <c r="F61" s="124"/>
      <c r="G61" s="124"/>
      <c r="H61" s="140" t="s">
        <v>12</v>
      </c>
    </row>
    <row r="62" spans="1:8" ht="24" x14ac:dyDescent="0.4">
      <c r="A62" s="125" t="s">
        <v>70</v>
      </c>
      <c r="B62" s="126">
        <f>(B47+B55)*F7/1000000000</f>
        <v>3.3111275903999999</v>
      </c>
      <c r="C62" s="68"/>
      <c r="D62" s="68"/>
      <c r="E62" s="127">
        <f>B62</f>
        <v>3.3111275903999999</v>
      </c>
      <c r="F62" s="68"/>
      <c r="G62" s="68"/>
      <c r="H62" s="128"/>
    </row>
    <row r="63" spans="1:8" ht="24" x14ac:dyDescent="0.4">
      <c r="A63" s="125" t="s">
        <v>71</v>
      </c>
      <c r="B63" s="126">
        <f>(B48+B56)*F9/1000000000</f>
        <v>295.91488611243</v>
      </c>
      <c r="C63" s="126">
        <f>(C48+C56)*F16/1000000000</f>
        <v>395.85228971399999</v>
      </c>
      <c r="D63" s="68"/>
      <c r="E63" s="127">
        <f>((B48+B56)*F9*C9+(B48+B56)*F12*C12)/1000000000</f>
        <v>161.79015075022798</v>
      </c>
      <c r="F63" s="127">
        <f>((C48+C56)*F17*C17+(C48+C56)*F16*C16)/1000000000</f>
        <v>338.05785541575602</v>
      </c>
      <c r="G63" s="68"/>
      <c r="H63" s="128"/>
    </row>
    <row r="64" spans="1:8" ht="24" x14ac:dyDescent="0.4">
      <c r="A64" s="38" t="s">
        <v>72</v>
      </c>
      <c r="B64" s="87"/>
      <c r="C64" s="87"/>
      <c r="D64" s="87"/>
      <c r="E64" s="129">
        <f>B51*F12/1000000000</f>
        <v>7.6867913612879999</v>
      </c>
      <c r="F64" s="66"/>
      <c r="G64" s="66"/>
      <c r="H64" s="66"/>
    </row>
    <row r="65" spans="1:12" ht="24" x14ac:dyDescent="0.4">
      <c r="A65" s="67" t="s">
        <v>73</v>
      </c>
      <c r="B65" s="130">
        <f>B42*B75*B$82*B87*B54*C11*F11/1000000000</f>
        <v>0.20322783093600003</v>
      </c>
      <c r="C65" s="126"/>
      <c r="D65" s="68"/>
      <c r="E65" s="127"/>
      <c r="F65" s="127"/>
      <c r="G65" s="68"/>
      <c r="H65" s="66"/>
    </row>
    <row r="66" spans="1:12" ht="24" x14ac:dyDescent="0.4">
      <c r="A66" s="125" t="s">
        <v>74</v>
      </c>
      <c r="B66" s="126">
        <f>B49*F13/1000000000</f>
        <v>27.601316352000001</v>
      </c>
      <c r="C66" s="126">
        <f>C49*F18/1000000000</f>
        <v>78.627797009999995</v>
      </c>
      <c r="D66" s="68"/>
      <c r="E66" s="127">
        <f>(B49*(F13*C13+F14*C14))/1000000000</f>
        <v>20.700987263999998</v>
      </c>
      <c r="F66" s="127">
        <f>(C49*(F18*C18+F19*C19))/1000000000</f>
        <v>67.148138646540005</v>
      </c>
      <c r="G66" s="68"/>
      <c r="H66" s="128"/>
    </row>
    <row r="67" spans="1:12" ht="24" x14ac:dyDescent="0.4">
      <c r="A67" s="131" t="s">
        <v>22</v>
      </c>
      <c r="B67" s="132">
        <f>SUM(B62:B66)</f>
        <v>327.03055788576603</v>
      </c>
      <c r="C67" s="132">
        <f>SUM(C63:C66)</f>
        <v>474.48008672399999</v>
      </c>
      <c r="D67" s="133">
        <f>B67+C67</f>
        <v>801.51064460976602</v>
      </c>
      <c r="E67" s="134">
        <f>SUM(E62:E66)</f>
        <v>193.48905696591595</v>
      </c>
      <c r="F67" s="134">
        <f>SUM(F62:F66)</f>
        <v>405.20599406229604</v>
      </c>
      <c r="G67" s="135">
        <f>E67+F67</f>
        <v>598.69505102821199</v>
      </c>
      <c r="H67" s="141">
        <f>G67-D67</f>
        <v>-202.81559358155403</v>
      </c>
    </row>
    <row r="68" spans="1:12" ht="24" x14ac:dyDescent="0.4">
      <c r="A68" s="66"/>
      <c r="B68" s="66"/>
      <c r="C68" s="66"/>
      <c r="D68" s="66"/>
      <c r="E68" s="66"/>
      <c r="F68" s="66"/>
      <c r="G68" s="66"/>
      <c r="H68" s="66"/>
    </row>
    <row r="69" spans="1:12" ht="24" x14ac:dyDescent="0.4">
      <c r="A69" s="136" t="s">
        <v>19</v>
      </c>
      <c r="B69" s="137">
        <v>2936</v>
      </c>
      <c r="C69" s="138"/>
      <c r="D69" s="139">
        <f>D67/B69</f>
        <v>0.27299408876354431</v>
      </c>
      <c r="E69" s="61"/>
      <c r="F69" s="61"/>
      <c r="G69" s="26">
        <f>G67/B69</f>
        <v>0.20391520811587602</v>
      </c>
      <c r="H69" s="66"/>
    </row>
    <row r="70" spans="1:12" ht="24" x14ac:dyDescent="0.4">
      <c r="A70" s="154"/>
      <c r="B70" s="155"/>
      <c r="C70" s="61"/>
      <c r="D70" s="23"/>
      <c r="E70" s="61"/>
      <c r="F70" s="61"/>
      <c r="G70" s="23"/>
      <c r="H70" s="66"/>
    </row>
    <row r="71" spans="1:12" ht="24" x14ac:dyDescent="0.4">
      <c r="A71" s="154"/>
      <c r="B71" s="155"/>
      <c r="C71" s="61"/>
      <c r="D71" s="23"/>
      <c r="E71" s="61"/>
      <c r="F71" s="61"/>
      <c r="G71" s="23"/>
      <c r="H71" s="66"/>
    </row>
    <row r="72" spans="1:12" ht="24" x14ac:dyDescent="0.4">
      <c r="A72" s="42" t="s">
        <v>91</v>
      </c>
      <c r="B72" s="5"/>
      <c r="C72" s="2"/>
    </row>
    <row r="73" spans="1:12" ht="18" customHeight="1" x14ac:dyDescent="0.3">
      <c r="A73" s="46" t="s">
        <v>92</v>
      </c>
      <c r="B73" s="47"/>
      <c r="C73" s="48"/>
      <c r="D73" s="32"/>
      <c r="E73" s="33"/>
      <c r="F73" s="32"/>
    </row>
    <row r="74" spans="1:12" ht="24" x14ac:dyDescent="0.4">
      <c r="A74" s="49" t="s">
        <v>1</v>
      </c>
      <c r="B74" s="50">
        <v>230</v>
      </c>
      <c r="C74" s="21" t="s">
        <v>57</v>
      </c>
      <c r="D74" s="32"/>
      <c r="E74" s="32"/>
      <c r="F74" s="32"/>
    </row>
    <row r="75" spans="1:12" ht="24" x14ac:dyDescent="0.4">
      <c r="A75" s="49" t="s">
        <v>6</v>
      </c>
      <c r="B75" s="50">
        <v>335</v>
      </c>
      <c r="C75" s="21" t="s">
        <v>58</v>
      </c>
      <c r="D75" s="32"/>
      <c r="E75" s="32"/>
      <c r="F75" s="32"/>
    </row>
    <row r="76" spans="1:12" ht="24.75" customHeight="1" thickBot="1" x14ac:dyDescent="0.45">
      <c r="A76" s="49" t="s">
        <v>101</v>
      </c>
      <c r="B76" s="184">
        <v>365</v>
      </c>
      <c r="C76" s="21" t="s">
        <v>102</v>
      </c>
      <c r="D76" s="34"/>
      <c r="E76" s="32"/>
      <c r="F76" s="32"/>
    </row>
    <row r="77" spans="1:12" ht="18" customHeight="1" x14ac:dyDescent="0.3">
      <c r="A77" s="35"/>
      <c r="B77" s="35"/>
      <c r="C77" s="36"/>
      <c r="D77" s="75" t="s">
        <v>31</v>
      </c>
      <c r="E77" s="76" t="s">
        <v>32</v>
      </c>
      <c r="F77" s="31"/>
      <c r="G77" s="32"/>
      <c r="L77" s="2"/>
    </row>
    <row r="78" spans="1:12" ht="24" customHeight="1" thickBot="1" x14ac:dyDescent="0.45">
      <c r="A78" s="35"/>
      <c r="B78" s="35"/>
      <c r="C78" s="69" t="s">
        <v>33</v>
      </c>
      <c r="D78" s="152">
        <v>0.9</v>
      </c>
      <c r="E78" s="71">
        <v>10</v>
      </c>
      <c r="F78" s="32"/>
      <c r="G78" s="32"/>
      <c r="K78" s="2"/>
    </row>
    <row r="79" spans="1:12" ht="24.75" thickTop="1" x14ac:dyDescent="0.4">
      <c r="A79" s="64" t="s">
        <v>118</v>
      </c>
      <c r="B79" s="33"/>
      <c r="C79" s="70" t="s">
        <v>50</v>
      </c>
      <c r="D79" s="152">
        <v>0.1</v>
      </c>
      <c r="E79" s="150">
        <f>(G79+G80)/2</f>
        <v>18</v>
      </c>
      <c r="F79" s="149" t="s">
        <v>63</v>
      </c>
      <c r="G79" s="72">
        <v>23</v>
      </c>
    </row>
    <row r="80" spans="1:12" ht="24.75" thickBot="1" x14ac:dyDescent="0.45">
      <c r="A80" s="53" t="s">
        <v>114</v>
      </c>
      <c r="B80" s="63">
        <f>D78*E78+D79*E79</f>
        <v>10.8</v>
      </c>
      <c r="C80" s="61"/>
      <c r="D80" s="62"/>
      <c r="E80" s="151" t="s">
        <v>45</v>
      </c>
      <c r="F80" s="74" t="s">
        <v>64</v>
      </c>
      <c r="G80" s="73">
        <v>13</v>
      </c>
    </row>
    <row r="81" spans="1:11" ht="24" x14ac:dyDescent="0.4">
      <c r="A81" s="53" t="s">
        <v>117</v>
      </c>
      <c r="B81" s="63">
        <f>B80*(100%+C81)</f>
        <v>12.96</v>
      </c>
      <c r="C81" s="206">
        <v>0.2</v>
      </c>
      <c r="D81" s="11"/>
      <c r="E81" s="5"/>
      <c r="F81" s="1" t="s">
        <v>24</v>
      </c>
    </row>
    <row r="82" spans="1:11" ht="24" x14ac:dyDescent="0.4">
      <c r="A82" s="53" t="s">
        <v>115</v>
      </c>
      <c r="B82" s="63">
        <f>0.45*C82</f>
        <v>9</v>
      </c>
      <c r="C82" s="61">
        <v>20</v>
      </c>
      <c r="D82" s="65" t="s">
        <v>39</v>
      </c>
      <c r="E82" s="61" t="s">
        <v>38</v>
      </c>
    </row>
    <row r="83" spans="1:11" ht="24" x14ac:dyDescent="0.4">
      <c r="A83" s="53" t="s">
        <v>116</v>
      </c>
      <c r="B83" s="63">
        <v>7</v>
      </c>
      <c r="C83" s="47" t="s">
        <v>46</v>
      </c>
      <c r="D83" s="66" t="s">
        <v>47</v>
      </c>
      <c r="E83" s="66"/>
    </row>
    <row r="84" spans="1:11" ht="24" x14ac:dyDescent="0.4">
      <c r="A84" s="77"/>
      <c r="B84" s="61"/>
      <c r="C84" s="21" t="s">
        <v>104</v>
      </c>
      <c r="D84" s="66"/>
      <c r="E84" s="66"/>
    </row>
    <row r="85" spans="1:11" ht="24" x14ac:dyDescent="0.4">
      <c r="A85" s="157" t="s">
        <v>93</v>
      </c>
      <c r="B85" s="34"/>
      <c r="C85" s="34"/>
      <c r="D85" s="51"/>
      <c r="E85" s="32"/>
      <c r="F85" s="32"/>
    </row>
    <row r="86" spans="1:11" ht="16.5" customHeight="1" x14ac:dyDescent="0.3">
      <c r="A86" s="35"/>
      <c r="B86" s="52"/>
      <c r="C86" s="31"/>
      <c r="D86" s="32"/>
      <c r="E86" s="32"/>
      <c r="F86" s="32"/>
      <c r="H86" s="2"/>
    </row>
    <row r="87" spans="1:11" ht="16.5" customHeight="1" x14ac:dyDescent="0.3">
      <c r="A87" s="144" t="s">
        <v>61</v>
      </c>
      <c r="B87" s="54">
        <v>1.3</v>
      </c>
      <c r="C87" s="55">
        <v>24</v>
      </c>
      <c r="D87" s="60">
        <v>4</v>
      </c>
      <c r="E87" s="56" t="s">
        <v>60</v>
      </c>
      <c r="F87" s="32"/>
      <c r="J87" s="2"/>
    </row>
    <row r="88" spans="1:11" ht="16.5" customHeight="1" x14ac:dyDescent="0.3">
      <c r="A88" s="35"/>
      <c r="B88" s="57"/>
      <c r="C88" s="47"/>
      <c r="D88" s="58" t="s">
        <v>43</v>
      </c>
      <c r="E88" s="31"/>
      <c r="F88" s="32"/>
      <c r="J88" s="2"/>
    </row>
    <row r="89" spans="1:11" ht="18" customHeight="1" x14ac:dyDescent="0.4">
      <c r="A89" s="53" t="s">
        <v>16</v>
      </c>
      <c r="B89" s="59">
        <v>9</v>
      </c>
      <c r="C89" s="59">
        <v>17.5</v>
      </c>
      <c r="D89" s="59">
        <f>(B89+C89)/2</f>
        <v>13.25</v>
      </c>
      <c r="E89" s="47" t="s">
        <v>23</v>
      </c>
      <c r="F89" s="32"/>
      <c r="K89" s="2"/>
    </row>
    <row r="90" spans="1:11" ht="18" customHeight="1" x14ac:dyDescent="0.3">
      <c r="A90" s="35"/>
      <c r="B90" s="36"/>
      <c r="C90" s="36"/>
      <c r="D90" s="36"/>
      <c r="E90" s="31"/>
      <c r="F90" s="32"/>
      <c r="K90" s="2"/>
    </row>
    <row r="92" spans="1:11" x14ac:dyDescent="0.25">
      <c r="A92" s="10"/>
      <c r="B92" s="8"/>
      <c r="C92" s="7"/>
      <c r="D92" s="1"/>
      <c r="E92" s="19"/>
      <c r="F92" s="2"/>
      <c r="G92" s="2"/>
    </row>
    <row r="122" spans="1:5" ht="26.25" x14ac:dyDescent="0.25">
      <c r="A122" s="143" t="s">
        <v>90</v>
      </c>
      <c r="D122" s="12"/>
    </row>
    <row r="123" spans="1:5" ht="48" x14ac:dyDescent="0.25">
      <c r="A123" s="27" t="s">
        <v>44</v>
      </c>
      <c r="B123" s="28" t="s">
        <v>48</v>
      </c>
      <c r="C123" s="29" t="s">
        <v>49</v>
      </c>
      <c r="D123" s="30" t="s">
        <v>40</v>
      </c>
    </row>
    <row r="124" spans="1:5" ht="24" x14ac:dyDescent="0.4">
      <c r="A124" s="22" t="str">
        <f>A7</f>
        <v>Krad fossil</v>
      </c>
      <c r="B124" s="23">
        <v>1</v>
      </c>
      <c r="C124" s="23">
        <v>1</v>
      </c>
      <c r="D124" s="23">
        <v>1</v>
      </c>
      <c r="E124" s="7"/>
    </row>
    <row r="125" spans="1:5" ht="24" x14ac:dyDescent="0.4">
      <c r="A125" s="22" t="str">
        <f>A9</f>
        <v>Pkw fossil</v>
      </c>
      <c r="B125" s="23">
        <f>IF((100%-B128-B127-B126&lt;0),0,100%-B128-B127-B126)</f>
        <v>1</v>
      </c>
      <c r="C125" s="23">
        <f>IF((100%-C128-C127-C126&lt;0),0,100%-C128-C127-C126)</f>
        <v>0.5</v>
      </c>
      <c r="D125" s="23">
        <f>IF((100%-D128-D127-D126&lt;0),0,100%-D128-D127-D126)</f>
        <v>0</v>
      </c>
      <c r="E125" s="7"/>
    </row>
    <row r="126" spans="1:5" ht="24" x14ac:dyDescent="0.4">
      <c r="A126" s="38" t="str">
        <f>A10</f>
        <v>RufSammelTaxi autonom Kordon</v>
      </c>
      <c r="B126" s="24">
        <v>0</v>
      </c>
      <c r="C126" s="24">
        <v>0.1</v>
      </c>
      <c r="D126" s="24">
        <v>0.3</v>
      </c>
      <c r="E126" s="7"/>
    </row>
    <row r="127" spans="1:5" ht="24" x14ac:dyDescent="0.4">
      <c r="A127" s="39" t="str">
        <f>A11</f>
        <v>Umweltverbund Innen</v>
      </c>
      <c r="B127" s="25">
        <v>0</v>
      </c>
      <c r="C127" s="25">
        <v>0.1</v>
      </c>
      <c r="D127" s="25">
        <v>0.3</v>
      </c>
      <c r="E127" s="7"/>
    </row>
    <row r="128" spans="1:5" ht="24" x14ac:dyDescent="0.4">
      <c r="A128" s="40" t="str">
        <f>A12</f>
        <v>E-Pkw (neu)</v>
      </c>
      <c r="B128" s="26">
        <v>0</v>
      </c>
      <c r="C128" s="26">
        <v>0.3</v>
      </c>
      <c r="D128" s="26">
        <v>0.5</v>
      </c>
      <c r="E128" s="7"/>
    </row>
    <row r="129" spans="1:5" ht="24" x14ac:dyDescent="0.4">
      <c r="A129" s="21" t="str">
        <f t="shared" ref="A129:A132" si="0">A16</f>
        <v>Lkw fossil</v>
      </c>
      <c r="B129" s="23">
        <f>100%-B130</f>
        <v>1</v>
      </c>
      <c r="C129" s="23">
        <f>100%-C130</f>
        <v>0.8</v>
      </c>
      <c r="D129" s="23">
        <f>100%-D130</f>
        <v>9.9999999999999978E-2</v>
      </c>
      <c r="E129" s="7"/>
    </row>
    <row r="130" spans="1:5" ht="24" x14ac:dyDescent="0.4">
      <c r="A130" s="41" t="str">
        <f t="shared" si="0"/>
        <v>E-Lkw</v>
      </c>
      <c r="B130" s="26">
        <v>0</v>
      </c>
      <c r="C130" s="26">
        <v>0.2</v>
      </c>
      <c r="D130" s="26">
        <v>0.9</v>
      </c>
      <c r="E130" s="7"/>
    </row>
    <row r="131" spans="1:5" ht="24" x14ac:dyDescent="0.4">
      <c r="A131" s="21" t="str">
        <f t="shared" si="0"/>
        <v>Lastzug (Lz) fossil</v>
      </c>
      <c r="B131" s="23">
        <f>100%-B130</f>
        <v>1</v>
      </c>
      <c r="C131" s="23">
        <v>0.8</v>
      </c>
      <c r="D131" s="23">
        <v>0.8</v>
      </c>
      <c r="E131" s="7"/>
    </row>
    <row r="132" spans="1:5" ht="24" x14ac:dyDescent="0.4">
      <c r="A132" s="41" t="str">
        <f t="shared" si="0"/>
        <v>E-Lastzug E-Lz)</v>
      </c>
      <c r="B132" s="23">
        <f>B130</f>
        <v>0</v>
      </c>
      <c r="C132" s="23">
        <f>C130</f>
        <v>0.2</v>
      </c>
      <c r="D132" s="23">
        <f>D130</f>
        <v>0.9</v>
      </c>
      <c r="E132" s="7"/>
    </row>
    <row r="133" spans="1:5" ht="24" x14ac:dyDescent="0.4">
      <c r="A133" s="22" t="str">
        <f>A13</f>
        <v>Bus Nahverkehr fossil</v>
      </c>
      <c r="B133" s="23">
        <f>100%-B134</f>
        <v>1</v>
      </c>
      <c r="C133" s="23">
        <f>100%-C134</f>
        <v>9.9999999999999978E-2</v>
      </c>
      <c r="D133" s="23">
        <f>100%-D134</f>
        <v>0</v>
      </c>
      <c r="E133" s="7"/>
    </row>
    <row r="134" spans="1:5" ht="24" x14ac:dyDescent="0.4">
      <c r="A134" s="40" t="s">
        <v>3</v>
      </c>
      <c r="B134" s="26">
        <v>0</v>
      </c>
      <c r="C134" s="26">
        <v>0.9</v>
      </c>
      <c r="D134" s="26">
        <v>1</v>
      </c>
      <c r="E134" s="7"/>
    </row>
    <row r="135" spans="1:5" x14ac:dyDescent="0.25">
      <c r="A135" s="10"/>
      <c r="B135" s="7"/>
      <c r="C135" s="7"/>
      <c r="D135" s="7"/>
    </row>
    <row r="136" spans="1:5" ht="24" x14ac:dyDescent="0.4">
      <c r="A136" s="22" t="s">
        <v>56</v>
      </c>
      <c r="B136" s="7"/>
      <c r="C136" s="7"/>
      <c r="D136" s="7"/>
    </row>
    <row r="137" spans="1:5" ht="24" x14ac:dyDescent="0.4">
      <c r="A137" s="66" t="s">
        <v>42</v>
      </c>
      <c r="B137" s="61">
        <v>833.1</v>
      </c>
      <c r="C137" s="68">
        <v>642.4</v>
      </c>
      <c r="D137" s="68">
        <v>319.7</v>
      </c>
    </row>
    <row r="138" spans="1:5" ht="15.75" x14ac:dyDescent="0.25">
      <c r="B138" s="1"/>
      <c r="C138" s="20"/>
      <c r="D138" s="20"/>
    </row>
  </sheetData>
  <mergeCells count="2">
    <mergeCell ref="D41:D42"/>
    <mergeCell ref="D35:D37"/>
  </mergeCells>
  <phoneticPr fontId="16" type="noConversion"/>
  <hyperlinks>
    <hyperlink ref="A69" r:id="rId1" xr:uid="{BD26B580-2E86-414E-89D7-B44A279AAE78}"/>
    <hyperlink ref="A40" r:id="rId2" display="3. Fahrzeuge innerhalb" xr:uid="{B9EF5660-B7E5-4C08-ACF3-E28B149FD304}"/>
    <hyperlink ref="D82" r:id="rId3" xr:uid="{BC91E92A-6DF5-47B7-BA8B-3525B493834E}"/>
    <hyperlink ref="G38" r:id="rId4" xr:uid="{8E1E6617-6283-460D-8311-30D9B945BA4A}"/>
  </hyperlinks>
  <pageMargins left="0.7" right="0.7" top="0.78740157499999996" bottom="0.78740157499999996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THG FSW</vt:lpstr>
      <vt:lpstr>THG 2023</vt:lpstr>
      <vt:lpstr>Zählung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Gerhard Spiegel</dc:creator>
  <cp:lastModifiedBy>Gerhard Spiegel</cp:lastModifiedBy>
  <dcterms:created xsi:type="dcterms:W3CDTF">2024-07-06T09:20:10Z</dcterms:created>
  <dcterms:modified xsi:type="dcterms:W3CDTF">2024-11-12T10:48:51Z</dcterms:modified>
</cp:coreProperties>
</file>